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2" windowWidth="28692" windowHeight="12276" activeTab="2"/>
  </bookViews>
  <sheets>
    <sheet name="Power &amp; CO2e saved" sheetId="1" r:id="rId1"/>
    <sheet name="Appliances" sheetId="5" r:id="rId2"/>
    <sheet name="Meter readings" sheetId="3" r:id="rId3"/>
  </sheets>
  <calcPr calcId="124519"/>
</workbook>
</file>

<file path=xl/calcChain.xml><?xml version="1.0" encoding="utf-8"?>
<calcChain xmlns="http://schemas.openxmlformats.org/spreadsheetml/2006/main">
  <c r="B18" i="1"/>
  <c r="B21" s="1"/>
  <c r="B47" i="3"/>
  <c r="B25" i="1"/>
  <c r="D21" l="1"/>
  <c r="B22"/>
  <c r="D22" s="1"/>
  <c r="B30"/>
  <c r="B27"/>
  <c r="B19"/>
  <c r="D19" s="1"/>
  <c r="B12"/>
  <c r="B21" i="3"/>
  <c r="B6" i="1"/>
  <c r="B39" i="3"/>
  <c r="B41" s="1"/>
  <c r="B37"/>
  <c r="B36"/>
  <c r="B35"/>
  <c r="R3" i="5"/>
  <c r="R4"/>
  <c r="R5"/>
  <c r="R6"/>
  <c r="R7"/>
  <c r="R8"/>
  <c r="R9"/>
  <c r="R10"/>
  <c r="R11"/>
  <c r="R12"/>
  <c r="R13"/>
  <c r="R14"/>
  <c r="R15"/>
  <c r="R16"/>
  <c r="R17"/>
  <c r="R18"/>
  <c r="R19"/>
  <c r="R20"/>
  <c r="R21"/>
  <c r="R23"/>
  <c r="R24"/>
  <c r="R25"/>
  <c r="R2"/>
  <c r="Q17"/>
  <c r="Q18"/>
  <c r="Q19"/>
  <c r="Q20"/>
  <c r="Q21"/>
  <c r="Q16"/>
  <c r="Q3"/>
  <c r="Q4"/>
  <c r="Q5"/>
  <c r="Q6"/>
  <c r="Q7"/>
  <c r="Q8"/>
  <c r="Q9"/>
  <c r="Q10"/>
  <c r="Q11"/>
  <c r="Q12"/>
  <c r="Q13"/>
  <c r="Q14"/>
  <c r="Q2"/>
  <c r="I12"/>
  <c r="O24"/>
  <c r="P24" s="1"/>
  <c r="M24"/>
  <c r="B7" i="1" l="1"/>
  <c r="D7" s="1"/>
  <c r="D6"/>
  <c r="D27"/>
  <c r="B28"/>
  <c r="B13"/>
  <c r="D13" s="1"/>
  <c r="D12"/>
  <c r="D30"/>
  <c r="B31"/>
  <c r="D31" s="1"/>
  <c r="B42" i="3"/>
  <c r="D18" i="1"/>
  <c r="D28"/>
  <c r="Q24" i="5"/>
  <c r="B22" i="3"/>
  <c r="O22" i="5"/>
  <c r="P22" s="1"/>
  <c r="M22"/>
  <c r="I21"/>
  <c r="D20"/>
  <c r="G20" s="1"/>
  <c r="H20" s="1"/>
  <c r="G6"/>
  <c r="H6" s="1"/>
  <c r="I19"/>
  <c r="I25"/>
  <c r="I23"/>
  <c r="B15" i="3"/>
  <c r="B14"/>
  <c r="B13"/>
  <c r="B17" s="1"/>
  <c r="H15" i="5"/>
  <c r="H23"/>
  <c r="E24"/>
  <c r="E15"/>
  <c r="E22"/>
  <c r="E7"/>
  <c r="E8"/>
  <c r="E11"/>
  <c r="E13"/>
  <c r="E3"/>
  <c r="E6"/>
  <c r="E17"/>
  <c r="E4"/>
  <c r="E5"/>
  <c r="E14"/>
  <c r="E10"/>
  <c r="E18"/>
  <c r="D9"/>
  <c r="G9" s="1"/>
  <c r="H9" s="1"/>
  <c r="G18"/>
  <c r="H18" s="1"/>
  <c r="D2"/>
  <c r="G2" s="1"/>
  <c r="H2" s="1"/>
  <c r="G10"/>
  <c r="H10" s="1"/>
  <c r="G14"/>
  <c r="H14" s="1"/>
  <c r="G5"/>
  <c r="H5" s="1"/>
  <c r="G4"/>
  <c r="H4" s="1"/>
  <c r="I4" s="1"/>
  <c r="G17"/>
  <c r="H17" s="1"/>
  <c r="G3"/>
  <c r="H3" s="1"/>
  <c r="G13"/>
  <c r="H13" s="1"/>
  <c r="I13" s="1"/>
  <c r="G11"/>
  <c r="H11" s="1"/>
  <c r="G8"/>
  <c r="H8" s="1"/>
  <c r="G7"/>
  <c r="H7" s="1"/>
  <c r="G22"/>
  <c r="H22" s="1"/>
  <c r="I22" s="1"/>
  <c r="G24"/>
  <c r="H24" s="1"/>
  <c r="D16"/>
  <c r="D25" i="1"/>
  <c r="D24"/>
  <c r="B4"/>
  <c r="D3"/>
  <c r="B44" i="3" l="1"/>
  <c r="B43"/>
  <c r="B15" i="1" s="1"/>
  <c r="B46" i="3"/>
  <c r="D4" i="1"/>
  <c r="Q22" i="5"/>
  <c r="G16"/>
  <c r="H16" s="1"/>
  <c r="B20" i="3"/>
  <c r="B19"/>
  <c r="I14" i="5"/>
  <c r="I8"/>
  <c r="I6"/>
  <c r="I18"/>
  <c r="I15"/>
  <c r="I11"/>
  <c r="I17"/>
  <c r="I10"/>
  <c r="I5"/>
  <c r="I3"/>
  <c r="I7"/>
  <c r="I24"/>
  <c r="E9"/>
  <c r="I9" s="1"/>
  <c r="E20"/>
  <c r="I20" s="1"/>
  <c r="E16"/>
  <c r="E2"/>
  <c r="I2" s="1"/>
  <c r="B16" i="1" l="1"/>
  <c r="D16" s="1"/>
  <c r="D15"/>
  <c r="R22" i="5"/>
  <c r="Q28"/>
  <c r="I16"/>
  <c r="I28" s="1"/>
  <c r="I29" s="1"/>
  <c r="I30" s="1"/>
  <c r="Q29" l="1"/>
  <c r="R28"/>
  <c r="Q30" l="1"/>
  <c r="R30" s="1"/>
  <c r="B9" i="1"/>
  <c r="R29" i="5"/>
  <c r="B10" i="1" l="1"/>
  <c r="D10" s="1"/>
  <c r="D9"/>
</calcChain>
</file>

<file path=xl/sharedStrings.xml><?xml version="1.0" encoding="utf-8"?>
<sst xmlns="http://schemas.openxmlformats.org/spreadsheetml/2006/main" count="183" uniqueCount="125">
  <si>
    <t>Electricity (kWh)</t>
  </si>
  <si>
    <t>Emissions Factor (kgCO2e/kWh)</t>
  </si>
  <si>
    <t>Emissions (kgCO2e)</t>
  </si>
  <si>
    <t>Notes</t>
  </si>
  <si>
    <t>http://www.environment.gov.au/climate-change/climate-science-data/greenhouse-gas-measurement/publications/national-greenhouse-accounts-factors-july-2018</t>
  </si>
  <si>
    <t>Per person</t>
  </si>
  <si>
    <t>Meter readings</t>
  </si>
  <si>
    <t>Electricity (KWH)</t>
  </si>
  <si>
    <t>Electricity used (peak)</t>
  </si>
  <si>
    <t>Electricity used (shoulder)</t>
  </si>
  <si>
    <t>Electricity used (off peak)</t>
  </si>
  <si>
    <t>Appliance</t>
  </si>
  <si>
    <t>Activity</t>
  </si>
  <si>
    <t>Daily use (hours)</t>
  </si>
  <si>
    <t>Daily energy in use (watt-hours)</t>
  </si>
  <si>
    <t>Standby power (watts)</t>
  </si>
  <si>
    <t>Standby daily use (hours)</t>
  </si>
  <si>
    <t>Kettle</t>
  </si>
  <si>
    <t>Fridge</t>
  </si>
  <si>
    <t>CD player</t>
  </si>
  <si>
    <t>Charger 1</t>
  </si>
  <si>
    <t>Charger 2</t>
  </si>
  <si>
    <t>Battery charger</t>
  </si>
  <si>
    <t>Bedside lamp Rob</t>
  </si>
  <si>
    <t>Bedside lamp Jo</t>
  </si>
  <si>
    <t>Bedside lamp X</t>
  </si>
  <si>
    <t>Toothbrush Jo</t>
  </si>
  <si>
    <t>Toothbrush Rob</t>
  </si>
  <si>
    <t>Clock radio Jo</t>
  </si>
  <si>
    <t>Clock radio Rob</t>
  </si>
  <si>
    <t>Nutribullet</t>
  </si>
  <si>
    <t>Modem</t>
  </si>
  <si>
    <t>Landline</t>
  </si>
  <si>
    <t>Boil (5 x per day for 2 minutes each)</t>
  </si>
  <si>
    <t>TV/ games console</t>
  </si>
  <si>
    <t>Plugged in but only used by scambots</t>
  </si>
  <si>
    <t>Computer set up incl 2 monitors, 2 mouse, scanner, printer</t>
  </si>
  <si>
    <t>Computer</t>
  </si>
  <si>
    <t>One blend per day of 30s per blend</t>
  </si>
  <si>
    <t>Toaster</t>
  </si>
  <si>
    <t xml:space="preserve">Microwave </t>
  </si>
  <si>
    <t>3 x per day for 2 minutes each</t>
  </si>
  <si>
    <t>Total daily energy (watt hours)</t>
  </si>
  <si>
    <t>Standby daily energy (watt-hours)</t>
  </si>
  <si>
    <t>Tumble dryer</t>
  </si>
  <si>
    <t>Electricity meter 8.06.19 (Meter readout 4 / bill 1 / peak)</t>
  </si>
  <si>
    <t>Electricity meter 8.06.19 (Meter readout 5 / bill 2 / shoulder)</t>
  </si>
  <si>
    <t>Electricity meter 8.06.19  (Meter readout 6 / bill 3 / off peak)</t>
  </si>
  <si>
    <t>Electricity meter 30.05.19 (Meter readout 4 / bill 1 / peak)</t>
  </si>
  <si>
    <t>Electricity meter 30.05.19 (Meter readout 5 / bill 2 / shoulder)</t>
  </si>
  <si>
    <t>Electricity meter 30.05.19 (Meter readout 6 / bill 3 / off peak)</t>
  </si>
  <si>
    <t>Total use</t>
  </si>
  <si>
    <t>Electricity meter 10.06.19 (Meter readout 4 / bill 1 / peak)</t>
  </si>
  <si>
    <t>Electricity meter 10.06.19 (Meter readout 5 / bill 2 / shoulder)</t>
  </si>
  <si>
    <t>Electricity meter 10.06.19 (Meter readout 6 / bill 3 / off peak)</t>
  </si>
  <si>
    <t>[Start of measuing period]</t>
  </si>
  <si>
    <t>[End of measuring period]</t>
  </si>
  <si>
    <t>[Start of measuring period]</t>
  </si>
  <si>
    <t>Fridge used 5.607 KWH for 5 days. Smart meter reading for cycle.</t>
  </si>
  <si>
    <t>Bar heater overnight in child's room for 4 months of the year. I thought this better than raising central heating for whole house. Uses 4.023 KWH overnight. Smart meter reading for cycle.</t>
  </si>
  <si>
    <t>Used infrequently when it rains. Uses 1.737 KWH for a 2 hr 18m cycle but only used around once per fortnight so divided by 14. Smart meter reading for cycle.</t>
  </si>
  <si>
    <t>Lights</t>
  </si>
  <si>
    <t>Did not measure. Will try to deduce impact of globe changes from overall change to electricity use.</t>
  </si>
  <si>
    <t>NA</t>
  </si>
  <si>
    <t>Adjusted for heater, see above</t>
  </si>
  <si>
    <t>Before changes#</t>
  </si>
  <si>
    <t>Actions to reduce</t>
  </si>
  <si>
    <t>Unplug</t>
  </si>
  <si>
    <t>15 minutes making porridge, reheating food &amp; coffee per day</t>
  </si>
  <si>
    <t>#Meter readings taken 1pm</t>
  </si>
  <si>
    <t xml:space="preserve"> </t>
  </si>
  <si>
    <t>Dishwasher</t>
  </si>
  <si>
    <t>One cycle uses 997 watts. We run it four times per week.</t>
  </si>
  <si>
    <t>Turn off printer &amp; scanner when not using</t>
  </si>
  <si>
    <t>Changed all halogens to CFLs and LEDs.</t>
  </si>
  <si>
    <t>After changes*</t>
  </si>
  <si>
    <t>Average weekly use my household</t>
  </si>
  <si>
    <t>Average daily use per person my household</t>
  </si>
  <si>
    <t>Average annual use per person my household</t>
  </si>
  <si>
    <t>BEFORE CHANGES Power (watts)</t>
  </si>
  <si>
    <t>AFTER CHANGES Power (watts)</t>
  </si>
  <si>
    <t>NA. X Insisted on lamp. No change.</t>
  </si>
  <si>
    <t>NA but replace at end of life with more efficient</t>
  </si>
  <si>
    <t>Electricity meter 17.06.19 (Meter readout 4 / bill 1 / peak)</t>
  </si>
  <si>
    <t>Electricity meter 17.06.19 (Meter readout 5 / bill 2 / shoulder)</t>
  </si>
  <si>
    <t>Electricity meter 17.06.19  (Meter readout 6 / bill 3 / off peak)</t>
  </si>
  <si>
    <t>Washing machine</t>
  </si>
  <si>
    <t>Disconnect chromecase and aerial boost.</t>
  </si>
  <si>
    <t>TV, DVD &amp; Xbox. Average wattage.</t>
  </si>
  <si>
    <t>Bedroom heater X*</t>
  </si>
  <si>
    <t>Savings</t>
  </si>
  <si>
    <t>Daily energy (watt-hours)</t>
  </si>
  <si>
    <t>Standby use (watts)</t>
  </si>
  <si>
    <t>Standby use (hours)</t>
  </si>
  <si>
    <t>Total daily energy (watt-hours)</t>
  </si>
  <si>
    <t>One cold cycle takes 30m and uses 0.035 kilowatt hours. We run it 8 times per week. Uses no power on standby.</t>
  </si>
  <si>
    <t>Total WH daily per household (winter only, no lights)*</t>
  </si>
  <si>
    <t>Total WH annual per household (whole year, no lights)*</t>
  </si>
  <si>
    <t>Total WH annual per person (whole year, no lights)*</t>
  </si>
  <si>
    <t>Changed seals. Fridge only used 570 watt hours for one day cycle. Also replace with efficient model at end of life.</t>
  </si>
  <si>
    <t>Put a timer on heater so it's on for 45m night low &amp; 1 hr morning low</t>
  </si>
  <si>
    <t>*Meter readings taken 6.45pm</t>
  </si>
  <si>
    <t>Weekly savings my household</t>
  </si>
  <si>
    <t>Annual savings per person my household</t>
  </si>
  <si>
    <t>*My household usage based on billed usage Apr 17 - March 19 divided by two. This is a household baseline prior to reducing electricity use from summer cooling experiment.</t>
  </si>
  <si>
    <t>**See tab 2 'Appliances', note this only shows usage and savings for appliances, not light bulb changes</t>
  </si>
  <si>
    <t>~See tab 3 'Meter readings'. Some changes were only made towards the end of the week, so total savings over a year are likely to be higher than shown.</t>
  </si>
  <si>
    <t>Average annual use my household</t>
  </si>
  <si>
    <t>My baseline household usage per year based on 2 year average bills (all electricity, not just lights &amp; appliances)*</t>
  </si>
  <si>
    <t>My household electricity usage per year based on 9-day winter meter readings (all electricity, not just lights &amp; appliances)**</t>
  </si>
  <si>
    <t>My household electricity usage per year after changes based on 7 day winter meter readings (partial savings only)~</t>
  </si>
  <si>
    <t>My household electricity usage per year (appliances only, based on test wattage)**</t>
  </si>
  <si>
    <t>My household electricity usage per year after changes (appliances only, based on tested wattage) per year**</t>
  </si>
  <si>
    <t>https://www.abs.gov.au/ausstats/abs@.nsf/Lookup/4670.0main+features100052012</t>
  </si>
  <si>
    <t>Assumed average Australian household savings per year after changes (light &amp; appliance audit) (assumes 25% reduction)</t>
  </si>
  <si>
    <t>#Based on figures from ABS Household Energy Consumption Survey,  Australia 2012, Table 14, average for electricity for a house with electricity and gas. Gives an average of 2.6 people per household.</t>
  </si>
  <si>
    <t>See also ACT Government's ACTSmart Energy Saving Guide at https://www.actsmart.act.gov.au/__data/assets/pdf_file/0012/697287/Actsmart-Household-Energy-Savings-Guide-June-2018-updates-FINAL.pdf</t>
  </si>
  <si>
    <t>Assumed average Australian household usage per year after changes (light &amp; appliance audit) (assumes 25% reduction)</t>
  </si>
  <si>
    <t>Average per Australian household, all electricity (in a house with electricity and mains gas)#</t>
  </si>
  <si>
    <t xml:space="preserve">Emissions Factor from National Greenhouse Accounts Factos 2018, Table 41, ACT / NSW electricity latest estimate and all Australia latest estimate (Scope 2 + Scope 3) </t>
  </si>
  <si>
    <t>*Only used for 3 months in winter. Divide by four on annual total.</t>
  </si>
  <si>
    <t>My assumed total household usage per year after changes (new light bulbs + appliance changes)(assumes 30% reduction)~~</t>
  </si>
  <si>
    <t>My assumed total household savings per year after changes (new light bulbs + appliance changes) (assumes 30% reduction)~~</t>
  </si>
  <si>
    <t>~~Based on savings from tab 2 and tab 3 and general research.</t>
  </si>
  <si>
    <t>Note that long-term savings are greater than indicated as I only changed the bar heater and TV set up partway through the week. We'll also swap our big devices for more energy-efficient models going forward.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</si>
</sst>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u/>
      <sz val="11"/>
      <color theme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1" fillId="0" borderId="1" xfId="0" applyFont="1" applyBorder="1"/>
    <xf numFmtId="0" fontId="0" fillId="0" borderId="0" xfId="0" applyBorder="1"/>
    <xf numFmtId="0" fontId="3" fillId="0" borderId="0" xfId="0" applyFont="1" applyBorder="1"/>
    <xf numFmtId="0" fontId="0" fillId="0" borderId="0" xfId="0" applyFill="1" applyBorder="1"/>
    <xf numFmtId="0" fontId="0" fillId="2" borderId="1" xfId="0" applyFill="1" applyBorder="1"/>
    <xf numFmtId="0" fontId="1" fillId="2" borderId="1" xfId="0" applyFont="1" applyFill="1" applyBorder="1"/>
    <xf numFmtId="164" fontId="0" fillId="2" borderId="1" xfId="1" applyNumberFormat="1" applyFont="1" applyFill="1" applyBorder="1"/>
    <xf numFmtId="43" fontId="0" fillId="2" borderId="1" xfId="1" applyNumberFormat="1" applyFont="1" applyFill="1" applyBorder="1"/>
    <xf numFmtId="0" fontId="3" fillId="2" borderId="1" xfId="0" applyFont="1" applyFill="1" applyBorder="1"/>
    <xf numFmtId="164" fontId="3" fillId="2" borderId="1" xfId="1" applyNumberFormat="1" applyFont="1" applyFill="1" applyBorder="1"/>
    <xf numFmtId="43" fontId="3" fillId="2" borderId="1" xfId="1" applyNumberFormat="1" applyFont="1" applyFill="1" applyBorder="1"/>
    <xf numFmtId="0" fontId="4" fillId="0" borderId="1" xfId="0" applyFont="1" applyBorder="1"/>
    <xf numFmtId="0" fontId="5" fillId="0" borderId="0" xfId="0" applyFont="1" applyBorder="1"/>
    <xf numFmtId="0" fontId="0" fillId="0" borderId="0" xfId="0"/>
    <xf numFmtId="0" fontId="4" fillId="0" borderId="1" xfId="0" applyFont="1" applyBorder="1"/>
    <xf numFmtId="0" fontId="5" fillId="0" borderId="0" xfId="0" applyFont="1" applyBorder="1"/>
    <xf numFmtId="0" fontId="5" fillId="3" borderId="1" xfId="0" applyFont="1" applyFill="1" applyBorder="1"/>
    <xf numFmtId="164" fontId="5" fillId="3" borderId="1" xfId="1" applyNumberFormat="1" applyFont="1" applyFill="1" applyBorder="1"/>
    <xf numFmtId="0" fontId="5" fillId="0" borderId="0" xfId="0" applyFont="1"/>
    <xf numFmtId="0" fontId="4" fillId="0" borderId="1" xfId="0" applyFont="1" applyBorder="1" applyAlignment="1">
      <alignment wrapText="1"/>
    </xf>
    <xf numFmtId="0" fontId="5" fillId="4" borderId="1" xfId="0" applyFont="1" applyFill="1" applyBorder="1"/>
    <xf numFmtId="2" fontId="5" fillId="4" borderId="1" xfId="0" applyNumberFormat="1" applyFont="1" applyFill="1" applyBorder="1"/>
    <xf numFmtId="0" fontId="5" fillId="5" borderId="1" xfId="0" applyFont="1" applyFill="1" applyBorder="1"/>
    <xf numFmtId="0" fontId="5" fillId="6" borderId="1" xfId="0" applyFont="1" applyFill="1" applyBorder="1"/>
    <xf numFmtId="0" fontId="5" fillId="7" borderId="1" xfId="0" applyFont="1" applyFill="1" applyBorder="1"/>
    <xf numFmtId="2" fontId="5" fillId="7" borderId="1" xfId="0" applyNumberFormat="1" applyFont="1" applyFill="1" applyBorder="1"/>
    <xf numFmtId="164" fontId="5" fillId="6" borderId="1" xfId="1" applyNumberFormat="1" applyFont="1" applyFill="1" applyBorder="1"/>
    <xf numFmtId="164" fontId="5" fillId="5" borderId="1" xfId="0" applyNumberFormat="1" applyFont="1" applyFill="1" applyBorder="1"/>
    <xf numFmtId="164" fontId="5" fillId="6" borderId="1" xfId="0" applyNumberFormat="1" applyFont="1" applyFill="1" applyBorder="1"/>
    <xf numFmtId="0" fontId="6" fillId="3" borderId="1" xfId="0" applyFont="1" applyFill="1" applyBorder="1"/>
    <xf numFmtId="0" fontId="6" fillId="8" borderId="1" xfId="0" applyFont="1" applyFill="1" applyBorder="1"/>
    <xf numFmtId="164" fontId="5" fillId="8" borderId="1" xfId="1" applyNumberFormat="1" applyFont="1" applyFill="1" applyBorder="1"/>
    <xf numFmtId="0" fontId="5" fillId="8" borderId="1" xfId="0" applyFont="1" applyFill="1" applyBorder="1"/>
    <xf numFmtId="0" fontId="4" fillId="3" borderId="1" xfId="0" applyFont="1" applyFill="1" applyBorder="1"/>
    <xf numFmtId="0" fontId="7" fillId="3" borderId="1" xfId="0" applyFont="1" applyFill="1" applyBorder="1"/>
    <xf numFmtId="164" fontId="7" fillId="3" borderId="1" xfId="1" applyNumberFormat="1" applyFont="1" applyFill="1" applyBorder="1"/>
    <xf numFmtId="0" fontId="0" fillId="8" borderId="1" xfId="0" applyFill="1" applyBorder="1"/>
    <xf numFmtId="0" fontId="4" fillId="8" borderId="1" xfId="0" applyFont="1" applyFill="1" applyBorder="1"/>
    <xf numFmtId="0" fontId="7" fillId="8" borderId="1" xfId="0" applyFont="1" applyFill="1" applyBorder="1"/>
    <xf numFmtId="0" fontId="5" fillId="4" borderId="1" xfId="0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164" fontId="5" fillId="4" borderId="1" xfId="1" applyNumberFormat="1" applyFont="1" applyFill="1" applyBorder="1"/>
    <xf numFmtId="164" fontId="5" fillId="7" borderId="1" xfId="1" applyNumberFormat="1" applyFont="1" applyFill="1" applyBorder="1"/>
    <xf numFmtId="0" fontId="6" fillId="4" borderId="3" xfId="0" applyFont="1" applyFill="1" applyBorder="1" applyAlignment="1">
      <alignment wrapText="1"/>
    </xf>
    <xf numFmtId="0" fontId="5" fillId="7" borderId="3" xfId="0" applyFont="1" applyFill="1" applyBorder="1"/>
    <xf numFmtId="0" fontId="5" fillId="9" borderId="3" xfId="0" applyFont="1" applyFill="1" applyBorder="1"/>
    <xf numFmtId="164" fontId="5" fillId="9" borderId="3" xfId="0" applyNumberFormat="1" applyFont="1" applyFill="1" applyBorder="1"/>
    <xf numFmtId="0" fontId="5" fillId="7" borderId="0" xfId="0" applyFont="1" applyFill="1" applyBorder="1"/>
    <xf numFmtId="0" fontId="6" fillId="7" borderId="3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4" borderId="3" xfId="0" applyFont="1" applyFill="1" applyBorder="1"/>
    <xf numFmtId="0" fontId="0" fillId="4" borderId="0" xfId="0" applyFill="1"/>
    <xf numFmtId="0" fontId="6" fillId="4" borderId="3" xfId="0" applyFont="1" applyFill="1" applyBorder="1"/>
    <xf numFmtId="0" fontId="0" fillId="7" borderId="0" xfId="0" applyFill="1"/>
    <xf numFmtId="1" fontId="0" fillId="0" borderId="0" xfId="0" applyNumberFormat="1"/>
    <xf numFmtId="164" fontId="0" fillId="0" borderId="0" xfId="1" applyNumberFormat="1" applyFont="1"/>
    <xf numFmtId="0" fontId="5" fillId="10" borderId="1" xfId="0" applyFont="1" applyFill="1" applyBorder="1" applyAlignment="1">
      <alignment wrapText="1"/>
    </xf>
    <xf numFmtId="0" fontId="5" fillId="10" borderId="1" xfId="0" applyFont="1" applyFill="1" applyBorder="1"/>
    <xf numFmtId="2" fontId="5" fillId="10" borderId="1" xfId="0" applyNumberFormat="1" applyFont="1" applyFill="1" applyBorder="1"/>
    <xf numFmtId="164" fontId="5" fillId="10" borderId="1" xfId="1" applyNumberFormat="1" applyFont="1" applyFill="1" applyBorder="1"/>
    <xf numFmtId="0" fontId="6" fillId="10" borderId="3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0" fontId="5" fillId="8" borderId="3" xfId="0" applyFont="1" applyFill="1" applyBorder="1"/>
    <xf numFmtId="0" fontId="5" fillId="8" borderId="1" xfId="0" applyFont="1" applyFill="1" applyBorder="1" applyAlignment="1">
      <alignment wrapText="1"/>
    </xf>
    <xf numFmtId="164" fontId="5" fillId="8" borderId="3" xfId="0" applyNumberFormat="1" applyFont="1" applyFill="1" applyBorder="1"/>
    <xf numFmtId="0" fontId="5" fillId="11" borderId="3" xfId="0" applyFont="1" applyFill="1" applyBorder="1"/>
    <xf numFmtId="0" fontId="5" fillId="11" borderId="1" xfId="0" applyFont="1" applyFill="1" applyBorder="1"/>
    <xf numFmtId="0" fontId="5" fillId="11" borderId="1" xfId="0" applyFont="1" applyFill="1" applyBorder="1" applyAlignment="1">
      <alignment wrapText="1"/>
    </xf>
    <xf numFmtId="164" fontId="5" fillId="11" borderId="1" xfId="0" applyNumberFormat="1" applyFont="1" applyFill="1" applyBorder="1"/>
    <xf numFmtId="0" fontId="5" fillId="8" borderId="3" xfId="0" applyFont="1" applyFill="1" applyBorder="1" applyAlignment="1">
      <alignment wrapText="1"/>
    </xf>
    <xf numFmtId="0" fontId="5" fillId="11" borderId="3" xfId="0" applyFont="1" applyFill="1" applyBorder="1" applyAlignment="1">
      <alignment wrapText="1"/>
    </xf>
    <xf numFmtId="164" fontId="5" fillId="11" borderId="3" xfId="1" applyNumberFormat="1" applyFont="1" applyFill="1" applyBorder="1" applyAlignment="1">
      <alignment wrapText="1"/>
    </xf>
    <xf numFmtId="0" fontId="5" fillId="12" borderId="1" xfId="0" applyFont="1" applyFill="1" applyBorder="1"/>
    <xf numFmtId="0" fontId="5" fillId="12" borderId="1" xfId="0" applyFont="1" applyFill="1" applyBorder="1" applyAlignment="1">
      <alignment wrapText="1"/>
    </xf>
    <xf numFmtId="2" fontId="5" fillId="12" borderId="1" xfId="0" applyNumberFormat="1" applyFont="1" applyFill="1" applyBorder="1"/>
    <xf numFmtId="164" fontId="5" fillId="12" borderId="1" xfId="1" applyNumberFormat="1" applyFont="1" applyFill="1" applyBorder="1"/>
    <xf numFmtId="0" fontId="6" fillId="12" borderId="3" xfId="0" applyFont="1" applyFill="1" applyBorder="1" applyAlignment="1">
      <alignment wrapText="1"/>
    </xf>
    <xf numFmtId="0" fontId="5" fillId="7" borderId="2" xfId="0" applyFont="1" applyFill="1" applyBorder="1"/>
    <xf numFmtId="164" fontId="5" fillId="8" borderId="1" xfId="0" applyNumberFormat="1" applyFont="1" applyFill="1" applyBorder="1"/>
    <xf numFmtId="164" fontId="5" fillId="11" borderId="1" xfId="1" applyNumberFormat="1" applyFont="1" applyFill="1" applyBorder="1"/>
    <xf numFmtId="0" fontId="7" fillId="13" borderId="1" xfId="0" applyFont="1" applyFill="1" applyBorder="1"/>
    <xf numFmtId="164" fontId="5" fillId="13" borderId="1" xfId="0" applyNumberFormat="1" applyFont="1" applyFill="1" applyBorder="1"/>
    <xf numFmtId="0" fontId="0" fillId="13" borderId="1" xfId="0" applyFill="1" applyBorder="1"/>
    <xf numFmtId="0" fontId="1" fillId="8" borderId="1" xfId="0" applyFont="1" applyFill="1" applyBorder="1"/>
    <xf numFmtId="164" fontId="2" fillId="8" borderId="1" xfId="1" applyNumberFormat="1" applyFont="1" applyFill="1" applyBorder="1"/>
    <xf numFmtId="43" fontId="2" fillId="8" borderId="1" xfId="1" applyNumberFormat="1" applyFont="1" applyFill="1" applyBorder="1"/>
    <xf numFmtId="0" fontId="3" fillId="8" borderId="1" xfId="0" applyFont="1" applyFill="1" applyBorder="1"/>
    <xf numFmtId="164" fontId="3" fillId="8" borderId="1" xfId="1" applyNumberFormat="1" applyFont="1" applyFill="1" applyBorder="1"/>
    <xf numFmtId="43" fontId="3" fillId="8" borderId="1" xfId="1" applyNumberFormat="1" applyFont="1" applyFill="1" applyBorder="1"/>
    <xf numFmtId="164" fontId="0" fillId="8" borderId="1" xfId="1" applyNumberFormat="1" applyFont="1" applyFill="1" applyBorder="1"/>
    <xf numFmtId="164" fontId="2" fillId="2" borderId="1" xfId="1" applyNumberFormat="1" applyFont="1" applyFill="1" applyBorder="1"/>
    <xf numFmtId="43" fontId="2" fillId="2" borderId="1" xfId="1" applyNumberFormat="1" applyFont="1" applyFill="1" applyBorder="1"/>
    <xf numFmtId="0" fontId="8" fillId="0" borderId="0" xfId="2" applyAlignment="1" applyProtection="1"/>
    <xf numFmtId="0" fontId="8" fillId="0" borderId="0" xfId="2" applyBorder="1" applyAlignment="1" applyProtection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vironment.gov.au/climate-change/climate-science-data/greenhouse-gas-measurement/publications/national-greenhouse-accounts-factors-july-201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>
      <pane ySplit="1" topLeftCell="A20" activePane="bottomLeft" state="frozen"/>
      <selection pane="bottomLeft" activeCell="A48" sqref="A48"/>
    </sheetView>
  </sheetViews>
  <sheetFormatPr defaultRowHeight="14.4"/>
  <cols>
    <col min="1" max="1" width="105.77734375" customWidth="1"/>
    <col min="2" max="2" width="16.77734375" customWidth="1"/>
    <col min="3" max="3" width="28.109375" customWidth="1"/>
    <col min="4" max="4" width="18.5546875" customWidth="1"/>
  </cols>
  <sheetData>
    <row r="1" spans="1:4">
      <c r="A1" s="1"/>
      <c r="B1" s="1" t="s">
        <v>0</v>
      </c>
      <c r="C1" s="1" t="s">
        <v>1</v>
      </c>
      <c r="D1" s="1" t="s">
        <v>2</v>
      </c>
    </row>
    <row r="2" spans="1:4">
      <c r="A2" s="5"/>
      <c r="B2" s="5"/>
      <c r="C2" s="5"/>
      <c r="D2" s="5"/>
    </row>
    <row r="3" spans="1:4">
      <c r="A3" s="6" t="s">
        <v>108</v>
      </c>
      <c r="B3" s="7">
        <v>4125</v>
      </c>
      <c r="C3" s="8">
        <v>0.92</v>
      </c>
      <c r="D3" s="7">
        <f>B3*C3</f>
        <v>3795</v>
      </c>
    </row>
    <row r="4" spans="1:4">
      <c r="A4" s="9" t="s">
        <v>5</v>
      </c>
      <c r="B4" s="10">
        <f>B3/3</f>
        <v>1375</v>
      </c>
      <c r="C4" s="11"/>
      <c r="D4" s="10">
        <f>B4*C3</f>
        <v>1265</v>
      </c>
    </row>
    <row r="5" spans="1:4" s="14" customFormat="1">
      <c r="A5" s="9"/>
      <c r="B5" s="10"/>
      <c r="C5" s="11"/>
      <c r="D5" s="10"/>
    </row>
    <row r="6" spans="1:4" s="14" customFormat="1">
      <c r="A6" s="6" t="s">
        <v>111</v>
      </c>
      <c r="B6" s="94">
        <f>Appliances!I29/1000</f>
        <v>2115.6290773809524</v>
      </c>
      <c r="C6" s="95">
        <v>0.92</v>
      </c>
      <c r="D6" s="94">
        <f>B6*C6</f>
        <v>1946.3787511904764</v>
      </c>
    </row>
    <row r="7" spans="1:4" s="14" customFormat="1">
      <c r="A7" s="9" t="s">
        <v>5</v>
      </c>
      <c r="B7" s="10">
        <f>B6/3</f>
        <v>705.20969246031746</v>
      </c>
      <c r="C7" s="95"/>
      <c r="D7" s="10">
        <f>B7*C6</f>
        <v>648.79291706349204</v>
      </c>
    </row>
    <row r="8" spans="1:4" s="14" customFormat="1">
      <c r="A8" s="9"/>
      <c r="B8" s="10"/>
      <c r="C8" s="95"/>
      <c r="D8" s="94"/>
    </row>
    <row r="9" spans="1:4" s="14" customFormat="1">
      <c r="A9" s="6" t="s">
        <v>112</v>
      </c>
      <c r="B9" s="94">
        <f>Appliances!Q29/1000</f>
        <v>1296.709863095238</v>
      </c>
      <c r="C9" s="95">
        <v>0.92</v>
      </c>
      <c r="D9" s="94">
        <f>B9*C9</f>
        <v>1192.9730740476191</v>
      </c>
    </row>
    <row r="10" spans="1:4" s="14" customFormat="1">
      <c r="A10" s="9" t="s">
        <v>5</v>
      </c>
      <c r="B10" s="10">
        <f>B9/3</f>
        <v>432.23662103174598</v>
      </c>
      <c r="C10" s="95"/>
      <c r="D10" s="10">
        <f>B10*C9</f>
        <v>397.65769134920635</v>
      </c>
    </row>
    <row r="11" spans="1:4" s="14" customFormat="1">
      <c r="A11" s="9"/>
      <c r="B11" s="10"/>
      <c r="C11" s="95"/>
      <c r="D11" s="94"/>
    </row>
    <row r="12" spans="1:4" s="14" customFormat="1">
      <c r="A12" s="6" t="s">
        <v>109</v>
      </c>
      <c r="B12" s="94">
        <f>'Meter readings'!B21</f>
        <v>5783.5555555555557</v>
      </c>
      <c r="C12" s="95">
        <v>0.92</v>
      </c>
      <c r="D12" s="94">
        <f>B12*C12</f>
        <v>5320.8711111111115</v>
      </c>
    </row>
    <row r="13" spans="1:4" s="14" customFormat="1">
      <c r="A13" s="9" t="s">
        <v>5</v>
      </c>
      <c r="B13" s="10">
        <f>B12/3</f>
        <v>1927.851851851852</v>
      </c>
      <c r="C13" s="95"/>
      <c r="D13" s="10">
        <f>B13*C12</f>
        <v>1773.6237037037038</v>
      </c>
    </row>
    <row r="14" spans="1:4" s="14" customFormat="1">
      <c r="A14" s="9"/>
      <c r="B14" s="10"/>
      <c r="C14" s="95"/>
      <c r="D14" s="94"/>
    </row>
    <row r="15" spans="1:4" s="14" customFormat="1">
      <c r="A15" s="6" t="s">
        <v>110</v>
      </c>
      <c r="B15" s="94">
        <f>'Meter readings'!B43</f>
        <v>4160</v>
      </c>
      <c r="C15" s="95">
        <v>0.92</v>
      </c>
      <c r="D15" s="94">
        <f>B15*C15</f>
        <v>3827.2000000000003</v>
      </c>
    </row>
    <row r="16" spans="1:4" s="14" customFormat="1">
      <c r="A16" s="9" t="s">
        <v>5</v>
      </c>
      <c r="B16" s="10">
        <f>B15/3</f>
        <v>1386.6666666666667</v>
      </c>
      <c r="C16" s="95"/>
      <c r="D16" s="10">
        <f>B16*C15</f>
        <v>1275.7333333333333</v>
      </c>
    </row>
    <row r="17" spans="1:5" s="14" customFormat="1">
      <c r="A17" s="9"/>
      <c r="B17" s="10"/>
      <c r="C17" s="11"/>
      <c r="D17" s="10"/>
    </row>
    <row r="18" spans="1:5" s="14" customFormat="1">
      <c r="A18" s="6" t="s">
        <v>121</v>
      </c>
      <c r="B18" s="94">
        <f>0.7*B3</f>
        <v>2887.5</v>
      </c>
      <c r="C18" s="95">
        <v>0.92</v>
      </c>
      <c r="D18" s="94">
        <f>B18*C18</f>
        <v>2656.5</v>
      </c>
    </row>
    <row r="19" spans="1:5" s="14" customFormat="1">
      <c r="A19" s="9" t="s">
        <v>5</v>
      </c>
      <c r="B19" s="10">
        <f>B18/3</f>
        <v>962.5</v>
      </c>
      <c r="C19" s="11"/>
      <c r="D19" s="10">
        <f>B19*C18</f>
        <v>885.5</v>
      </c>
    </row>
    <row r="20" spans="1:5" s="14" customFormat="1">
      <c r="A20" s="9"/>
      <c r="B20" s="10"/>
      <c r="C20" s="11"/>
      <c r="D20" s="10"/>
    </row>
    <row r="21" spans="1:5" s="14" customFormat="1">
      <c r="A21" s="6" t="s">
        <v>122</v>
      </c>
      <c r="B21" s="94">
        <f>B18*0.3</f>
        <v>866.25</v>
      </c>
      <c r="C21" s="95">
        <v>0.92</v>
      </c>
      <c r="D21" s="94">
        <f>B21*C21</f>
        <v>796.95</v>
      </c>
    </row>
    <row r="22" spans="1:5">
      <c r="A22" s="9" t="s">
        <v>5</v>
      </c>
      <c r="B22" s="10">
        <f>B21/3</f>
        <v>288.75</v>
      </c>
      <c r="C22" s="11"/>
      <c r="D22" s="10">
        <f>B22*C21</f>
        <v>265.65000000000003</v>
      </c>
    </row>
    <row r="23" spans="1:5" s="14" customFormat="1">
      <c r="A23" s="9"/>
      <c r="B23" s="10"/>
      <c r="C23" s="11"/>
      <c r="D23" s="10"/>
    </row>
    <row r="24" spans="1:5">
      <c r="A24" s="87" t="s">
        <v>118</v>
      </c>
      <c r="B24" s="88">
        <v>5361</v>
      </c>
      <c r="C24" s="89">
        <v>0.9</v>
      </c>
      <c r="D24" s="88">
        <f>B24*C24</f>
        <v>4824.9000000000005</v>
      </c>
    </row>
    <row r="25" spans="1:5">
      <c r="A25" s="90" t="s">
        <v>5</v>
      </c>
      <c r="B25" s="91">
        <f>B24/2.6</f>
        <v>2061.9230769230767</v>
      </c>
      <c r="C25" s="92"/>
      <c r="D25" s="91">
        <f>B25*C24</f>
        <v>1855.7307692307691</v>
      </c>
    </row>
    <row r="26" spans="1:5">
      <c r="A26" s="90"/>
      <c r="B26" s="91"/>
      <c r="C26" s="92"/>
      <c r="D26" s="91"/>
    </row>
    <row r="27" spans="1:5" s="14" customFormat="1">
      <c r="A27" s="87" t="s">
        <v>117</v>
      </c>
      <c r="B27" s="88">
        <f>B24*0.75</f>
        <v>4020.75</v>
      </c>
      <c r="C27" s="89">
        <v>0.9</v>
      </c>
      <c r="D27" s="88">
        <f>B27*C27</f>
        <v>3618.6750000000002</v>
      </c>
    </row>
    <row r="28" spans="1:5" s="14" customFormat="1">
      <c r="A28" s="90" t="s">
        <v>5</v>
      </c>
      <c r="B28" s="91">
        <f>B27/2.6</f>
        <v>1546.4423076923076</v>
      </c>
      <c r="C28" s="92"/>
      <c r="D28" s="91">
        <f>B28*C27</f>
        <v>1391.7980769230769</v>
      </c>
    </row>
    <row r="29" spans="1:5" s="14" customFormat="1">
      <c r="A29" s="90"/>
      <c r="B29" s="91"/>
      <c r="C29" s="92"/>
      <c r="D29" s="91"/>
    </row>
    <row r="30" spans="1:5" s="14" customFormat="1">
      <c r="A30" s="87" t="s">
        <v>114</v>
      </c>
      <c r="B30" s="88">
        <f>B24*0.25</f>
        <v>1340.25</v>
      </c>
      <c r="C30" s="89">
        <v>0.9</v>
      </c>
      <c r="D30" s="88">
        <f>B30*C30</f>
        <v>1206.2250000000001</v>
      </c>
    </row>
    <row r="31" spans="1:5">
      <c r="A31" s="90" t="s">
        <v>5</v>
      </c>
      <c r="B31" s="93">
        <f>B30/2.6</f>
        <v>515.48076923076917</v>
      </c>
      <c r="C31" s="93"/>
      <c r="D31" s="91">
        <f>B31*C30</f>
        <v>463.93269230769226</v>
      </c>
    </row>
    <row r="32" spans="1:5">
      <c r="A32" s="2"/>
      <c r="B32" s="2"/>
      <c r="C32" s="2"/>
      <c r="D32" s="2"/>
      <c r="E32" s="2"/>
    </row>
    <row r="33" spans="1:5">
      <c r="A33" s="3" t="s">
        <v>3</v>
      </c>
      <c r="B33" s="2"/>
      <c r="C33" s="2"/>
      <c r="D33" s="2"/>
      <c r="E33" s="2"/>
    </row>
    <row r="34" spans="1:5">
      <c r="A34" s="2" t="s">
        <v>104</v>
      </c>
      <c r="B34" s="2"/>
      <c r="C34" s="2"/>
      <c r="D34" s="2"/>
      <c r="E34" s="2"/>
    </row>
    <row r="35" spans="1:5" s="14" customFormat="1">
      <c r="A35" s="2" t="s">
        <v>105</v>
      </c>
      <c r="B35" s="2"/>
      <c r="C35" s="2"/>
      <c r="D35" s="2"/>
      <c r="E35" s="2"/>
    </row>
    <row r="36" spans="1:5" s="14" customFormat="1">
      <c r="A36" s="4" t="s">
        <v>106</v>
      </c>
      <c r="B36" s="2"/>
      <c r="C36" s="2"/>
      <c r="D36" s="2"/>
      <c r="E36" s="2"/>
    </row>
    <row r="37" spans="1:5" s="14" customFormat="1">
      <c r="A37" s="4" t="s">
        <v>123</v>
      </c>
      <c r="B37" s="2"/>
      <c r="C37" s="2"/>
      <c r="D37" s="2"/>
      <c r="E37" s="2"/>
    </row>
    <row r="38" spans="1:5" s="14" customFormat="1">
      <c r="A38" s="2"/>
      <c r="B38" s="2"/>
      <c r="C38" s="2"/>
      <c r="D38" s="2"/>
      <c r="E38" s="2"/>
    </row>
    <row r="39" spans="1:5">
      <c r="A39" s="14" t="s">
        <v>115</v>
      </c>
      <c r="B39" s="2"/>
      <c r="C39" s="2"/>
      <c r="D39" s="2"/>
      <c r="E39" s="2"/>
    </row>
    <row r="40" spans="1:5">
      <c r="A40" t="s">
        <v>113</v>
      </c>
      <c r="B40" s="2"/>
      <c r="C40" s="2"/>
      <c r="D40" s="2"/>
      <c r="E40" s="2"/>
    </row>
    <row r="41" spans="1:5" s="14" customFormat="1">
      <c r="A41" s="2"/>
      <c r="B41" s="2"/>
      <c r="C41" s="2"/>
      <c r="D41" s="2"/>
      <c r="E41" s="2"/>
    </row>
    <row r="42" spans="1:5">
      <c r="A42" s="4" t="s">
        <v>116</v>
      </c>
      <c r="B42" s="2"/>
      <c r="C42" s="2"/>
      <c r="D42" s="2"/>
      <c r="E42" s="2"/>
    </row>
    <row r="43" spans="1:5" s="14" customFormat="1">
      <c r="A43" s="2"/>
      <c r="B43" s="2"/>
      <c r="C43" s="2"/>
      <c r="D43" s="2"/>
      <c r="E43" s="2"/>
    </row>
    <row r="44" spans="1:5">
      <c r="A44" s="4" t="s">
        <v>119</v>
      </c>
      <c r="B44" s="2"/>
      <c r="C44" s="2"/>
      <c r="D44" s="2"/>
      <c r="E44" s="2"/>
    </row>
    <row r="45" spans="1:5">
      <c r="A45" s="97" t="s">
        <v>4</v>
      </c>
      <c r="B45" s="2"/>
      <c r="C45" s="2"/>
      <c r="D45" s="2"/>
      <c r="E45" s="2"/>
    </row>
    <row r="46" spans="1:5">
      <c r="A46" s="96"/>
    </row>
    <row r="48" spans="1:5">
      <c r="A48" s="14"/>
    </row>
  </sheetData>
  <hyperlinks>
    <hyperlink ref="A45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topLeftCell="A19" zoomScale="70" zoomScaleNormal="70" workbookViewId="0">
      <pane xSplit="1" topLeftCell="B1" activePane="topRight" state="frozen"/>
      <selection pane="topRight" activeCell="A30" sqref="A30"/>
    </sheetView>
  </sheetViews>
  <sheetFormatPr defaultRowHeight="14.4"/>
  <cols>
    <col min="1" max="1" width="19.88671875" customWidth="1"/>
    <col min="2" max="2" width="56.21875" style="14" customWidth="1"/>
    <col min="3" max="3" width="15.33203125" customWidth="1"/>
    <col min="4" max="4" width="10.5546875" customWidth="1"/>
    <col min="5" max="5" width="13.5546875" customWidth="1"/>
    <col min="6" max="6" width="10.88671875" customWidth="1"/>
    <col min="7" max="7" width="13.109375" customWidth="1"/>
    <col min="8" max="8" width="13.88671875" customWidth="1"/>
    <col min="9" max="9" width="18.21875" customWidth="1"/>
    <col min="10" max="10" width="34.5546875" style="14" customWidth="1"/>
    <col min="11" max="11" width="19.77734375" style="14" customWidth="1"/>
    <col min="12" max="12" width="19.77734375" customWidth="1"/>
    <col min="13" max="13" width="14.77734375" customWidth="1"/>
    <col min="14" max="14" width="19.44140625" customWidth="1"/>
    <col min="15" max="15" width="12.109375" customWidth="1"/>
    <col min="16" max="17" width="19.21875" customWidth="1"/>
    <col min="18" max="18" width="17" customWidth="1"/>
  </cols>
  <sheetData>
    <row r="1" spans="1:18" ht="42">
      <c r="A1" s="15" t="s">
        <v>11</v>
      </c>
      <c r="B1" s="15" t="s">
        <v>12</v>
      </c>
      <c r="C1" s="20" t="s">
        <v>79</v>
      </c>
      <c r="D1" s="20" t="s">
        <v>13</v>
      </c>
      <c r="E1" s="20" t="s">
        <v>91</v>
      </c>
      <c r="F1" s="20" t="s">
        <v>92</v>
      </c>
      <c r="G1" s="20" t="s">
        <v>93</v>
      </c>
      <c r="H1" s="20" t="s">
        <v>43</v>
      </c>
      <c r="I1" s="20" t="s">
        <v>94</v>
      </c>
      <c r="J1" s="50" t="s">
        <v>66</v>
      </c>
      <c r="K1" s="65" t="s">
        <v>80</v>
      </c>
      <c r="L1" s="65" t="s">
        <v>13</v>
      </c>
      <c r="M1" s="65" t="s">
        <v>14</v>
      </c>
      <c r="N1" s="65" t="s">
        <v>15</v>
      </c>
      <c r="O1" s="65" t="s">
        <v>16</v>
      </c>
      <c r="P1" s="65" t="s">
        <v>43</v>
      </c>
      <c r="Q1" s="65" t="s">
        <v>42</v>
      </c>
      <c r="R1" s="65" t="s">
        <v>90</v>
      </c>
    </row>
    <row r="2" spans="1:18">
      <c r="A2" s="21" t="s">
        <v>30</v>
      </c>
      <c r="B2" s="21" t="s">
        <v>38</v>
      </c>
      <c r="C2" s="21">
        <v>174</v>
      </c>
      <c r="D2" s="22">
        <f>0.5/60</f>
        <v>8.3333333333333332E-3</v>
      </c>
      <c r="E2" s="22">
        <f t="shared" ref="E2:E11" si="0">C2*D2</f>
        <v>1.45</v>
      </c>
      <c r="F2" s="21">
        <v>0</v>
      </c>
      <c r="G2" s="22">
        <f t="shared" ref="G2:G11" si="1">24-D2</f>
        <v>23.991666666666667</v>
      </c>
      <c r="H2" s="21">
        <f t="shared" ref="H2:H11" si="2">F2*G2</f>
        <v>0</v>
      </c>
      <c r="I2" s="42">
        <f t="shared" ref="I2:I11" si="3">E2+H2</f>
        <v>1.45</v>
      </c>
      <c r="J2" s="51" t="s">
        <v>63</v>
      </c>
      <c r="K2" s="69" t="s">
        <v>63</v>
      </c>
      <c r="L2" s="70"/>
      <c r="M2" s="70"/>
      <c r="N2" s="70"/>
      <c r="O2" s="70"/>
      <c r="P2" s="70"/>
      <c r="Q2" s="72">
        <f>I2</f>
        <v>1.45</v>
      </c>
      <c r="R2" s="72">
        <f>I2-Q2</f>
        <v>0</v>
      </c>
    </row>
    <row r="3" spans="1:18">
      <c r="A3" s="25" t="s">
        <v>23</v>
      </c>
      <c r="B3" s="25"/>
      <c r="C3" s="25">
        <v>4.5</v>
      </c>
      <c r="D3" s="25">
        <v>1</v>
      </c>
      <c r="E3" s="26">
        <f t="shared" si="0"/>
        <v>4.5</v>
      </c>
      <c r="F3" s="25">
        <v>0</v>
      </c>
      <c r="G3" s="25">
        <f t="shared" si="1"/>
        <v>23</v>
      </c>
      <c r="H3" s="25">
        <f t="shared" si="2"/>
        <v>0</v>
      </c>
      <c r="I3" s="43">
        <f t="shared" si="3"/>
        <v>4.5</v>
      </c>
      <c r="J3" s="45" t="s">
        <v>63</v>
      </c>
      <c r="K3" s="66" t="s">
        <v>63</v>
      </c>
      <c r="L3" s="33"/>
      <c r="M3" s="33"/>
      <c r="N3" s="33"/>
      <c r="O3" s="33"/>
      <c r="P3" s="33"/>
      <c r="Q3" s="82">
        <f t="shared" ref="Q3:Q14" si="4">I3</f>
        <v>4.5</v>
      </c>
      <c r="R3" s="82">
        <f t="shared" ref="R3:R25" si="5">I3-Q3</f>
        <v>0</v>
      </c>
    </row>
    <row r="4" spans="1:18">
      <c r="A4" s="21" t="s">
        <v>26</v>
      </c>
      <c r="B4" s="21"/>
      <c r="C4" s="21">
        <v>0.6</v>
      </c>
      <c r="D4" s="21">
        <v>24</v>
      </c>
      <c r="E4" s="22">
        <f t="shared" si="0"/>
        <v>14.399999999999999</v>
      </c>
      <c r="F4" s="21">
        <v>0</v>
      </c>
      <c r="G4" s="21">
        <f t="shared" si="1"/>
        <v>0</v>
      </c>
      <c r="H4" s="21">
        <f t="shared" si="2"/>
        <v>0</v>
      </c>
      <c r="I4" s="42">
        <f t="shared" si="3"/>
        <v>14.399999999999999</v>
      </c>
      <c r="J4" s="51" t="s">
        <v>63</v>
      </c>
      <c r="K4" s="69" t="s">
        <v>63</v>
      </c>
      <c r="L4" s="70"/>
      <c r="M4" s="70"/>
      <c r="N4" s="70"/>
      <c r="O4" s="70"/>
      <c r="P4" s="70"/>
      <c r="Q4" s="72">
        <f t="shared" si="4"/>
        <v>14.399999999999999</v>
      </c>
      <c r="R4" s="72">
        <f t="shared" si="5"/>
        <v>0</v>
      </c>
    </row>
    <row r="5" spans="1:18">
      <c r="A5" s="25" t="s">
        <v>27</v>
      </c>
      <c r="B5" s="25"/>
      <c r="C5" s="25">
        <v>0.6</v>
      </c>
      <c r="D5" s="25">
        <v>24</v>
      </c>
      <c r="E5" s="26">
        <f t="shared" si="0"/>
        <v>14.399999999999999</v>
      </c>
      <c r="F5" s="25">
        <v>0</v>
      </c>
      <c r="G5" s="25">
        <f t="shared" si="1"/>
        <v>0</v>
      </c>
      <c r="H5" s="25">
        <f t="shared" si="2"/>
        <v>0</v>
      </c>
      <c r="I5" s="43">
        <f t="shared" si="3"/>
        <v>14.399999999999999</v>
      </c>
      <c r="J5" s="45" t="s">
        <v>63</v>
      </c>
      <c r="K5" s="66" t="s">
        <v>63</v>
      </c>
      <c r="L5" s="33"/>
      <c r="M5" s="33"/>
      <c r="N5" s="33"/>
      <c r="O5" s="33"/>
      <c r="P5" s="33"/>
      <c r="Q5" s="82">
        <f t="shared" si="4"/>
        <v>14.399999999999999</v>
      </c>
      <c r="R5" s="82">
        <f t="shared" si="5"/>
        <v>0</v>
      </c>
    </row>
    <row r="6" spans="1:18" s="52" customFormat="1">
      <c r="A6" s="21" t="s">
        <v>24</v>
      </c>
      <c r="B6" s="21"/>
      <c r="C6" s="21">
        <v>16</v>
      </c>
      <c r="D6" s="21">
        <v>1</v>
      </c>
      <c r="E6" s="22">
        <f t="shared" si="0"/>
        <v>16</v>
      </c>
      <c r="F6" s="21">
        <v>0</v>
      </c>
      <c r="G6" s="21">
        <f t="shared" si="1"/>
        <v>23</v>
      </c>
      <c r="H6" s="21">
        <f t="shared" si="2"/>
        <v>0</v>
      </c>
      <c r="I6" s="42">
        <f t="shared" si="3"/>
        <v>16</v>
      </c>
      <c r="J6" s="51" t="s">
        <v>63</v>
      </c>
      <c r="K6" s="69" t="s">
        <v>63</v>
      </c>
      <c r="L6" s="70"/>
      <c r="M6" s="70"/>
      <c r="N6" s="70"/>
      <c r="O6" s="70"/>
      <c r="P6" s="70"/>
      <c r="Q6" s="72">
        <f t="shared" si="4"/>
        <v>16</v>
      </c>
      <c r="R6" s="72">
        <f t="shared" si="5"/>
        <v>0</v>
      </c>
    </row>
    <row r="7" spans="1:18" s="54" customFormat="1">
      <c r="A7" s="25" t="s">
        <v>19</v>
      </c>
      <c r="B7" s="25"/>
      <c r="C7" s="25">
        <v>3.4</v>
      </c>
      <c r="D7" s="25">
        <v>0.5</v>
      </c>
      <c r="E7" s="26">
        <f t="shared" si="0"/>
        <v>1.7</v>
      </c>
      <c r="F7" s="25">
        <v>0.7</v>
      </c>
      <c r="G7" s="25">
        <f t="shared" si="1"/>
        <v>23.5</v>
      </c>
      <c r="H7" s="25">
        <f t="shared" si="2"/>
        <v>16.45</v>
      </c>
      <c r="I7" s="43">
        <f t="shared" si="3"/>
        <v>18.149999999999999</v>
      </c>
      <c r="J7" s="45" t="s">
        <v>63</v>
      </c>
      <c r="K7" s="66" t="s">
        <v>63</v>
      </c>
      <c r="L7" s="33"/>
      <c r="M7" s="33"/>
      <c r="N7" s="33"/>
      <c r="O7" s="33"/>
      <c r="P7" s="33"/>
      <c r="Q7" s="82">
        <f t="shared" si="4"/>
        <v>18.149999999999999</v>
      </c>
      <c r="R7" s="82">
        <f t="shared" si="5"/>
        <v>0</v>
      </c>
    </row>
    <row r="8" spans="1:18" s="52" customFormat="1">
      <c r="A8" s="21" t="s">
        <v>20</v>
      </c>
      <c r="B8" s="21"/>
      <c r="C8" s="21">
        <v>3.1</v>
      </c>
      <c r="D8" s="21">
        <v>6</v>
      </c>
      <c r="E8" s="22">
        <f t="shared" si="0"/>
        <v>18.600000000000001</v>
      </c>
      <c r="F8" s="21">
        <v>0</v>
      </c>
      <c r="G8" s="21">
        <f t="shared" si="1"/>
        <v>18</v>
      </c>
      <c r="H8" s="21">
        <f t="shared" si="2"/>
        <v>0</v>
      </c>
      <c r="I8" s="42">
        <f t="shared" si="3"/>
        <v>18.600000000000001</v>
      </c>
      <c r="J8" s="51" t="s">
        <v>63</v>
      </c>
      <c r="K8" s="69" t="s">
        <v>63</v>
      </c>
      <c r="L8" s="70"/>
      <c r="M8" s="70"/>
      <c r="N8" s="70"/>
      <c r="O8" s="70"/>
      <c r="P8" s="70"/>
      <c r="Q8" s="72">
        <f t="shared" si="4"/>
        <v>18.600000000000001</v>
      </c>
      <c r="R8" s="72">
        <f t="shared" si="5"/>
        <v>0</v>
      </c>
    </row>
    <row r="9" spans="1:18" s="54" customFormat="1">
      <c r="A9" s="25" t="s">
        <v>39</v>
      </c>
      <c r="B9" s="25" t="s">
        <v>41</v>
      </c>
      <c r="C9" s="25">
        <v>189</v>
      </c>
      <c r="D9" s="25">
        <f>6/60</f>
        <v>0.1</v>
      </c>
      <c r="E9" s="26">
        <f t="shared" si="0"/>
        <v>18.900000000000002</v>
      </c>
      <c r="F9" s="25">
        <v>0</v>
      </c>
      <c r="G9" s="25">
        <f t="shared" si="1"/>
        <v>23.9</v>
      </c>
      <c r="H9" s="25">
        <f t="shared" si="2"/>
        <v>0</v>
      </c>
      <c r="I9" s="43">
        <f t="shared" si="3"/>
        <v>18.900000000000002</v>
      </c>
      <c r="J9" s="45" t="s">
        <v>63</v>
      </c>
      <c r="K9" s="66" t="s">
        <v>63</v>
      </c>
      <c r="L9" s="33"/>
      <c r="M9" s="33"/>
      <c r="N9" s="33"/>
      <c r="O9" s="33"/>
      <c r="P9" s="33"/>
      <c r="Q9" s="82">
        <f t="shared" si="4"/>
        <v>18.900000000000002</v>
      </c>
      <c r="R9" s="82">
        <f t="shared" si="5"/>
        <v>0</v>
      </c>
    </row>
    <row r="10" spans="1:18" s="52" customFormat="1">
      <c r="A10" s="21" t="s">
        <v>29</v>
      </c>
      <c r="B10" s="21"/>
      <c r="C10" s="21">
        <v>1</v>
      </c>
      <c r="D10" s="21">
        <v>24</v>
      </c>
      <c r="E10" s="22">
        <f t="shared" si="0"/>
        <v>24</v>
      </c>
      <c r="F10" s="21">
        <v>0</v>
      </c>
      <c r="G10" s="21">
        <f t="shared" si="1"/>
        <v>0</v>
      </c>
      <c r="H10" s="21">
        <f t="shared" si="2"/>
        <v>0</v>
      </c>
      <c r="I10" s="42">
        <f t="shared" si="3"/>
        <v>24</v>
      </c>
      <c r="J10" s="51" t="s">
        <v>63</v>
      </c>
      <c r="K10" s="69" t="s">
        <v>63</v>
      </c>
      <c r="L10" s="70"/>
      <c r="M10" s="70"/>
      <c r="N10" s="70"/>
      <c r="O10" s="70"/>
      <c r="P10" s="70"/>
      <c r="Q10" s="72">
        <f t="shared" si="4"/>
        <v>24</v>
      </c>
      <c r="R10" s="72">
        <f t="shared" si="5"/>
        <v>0</v>
      </c>
    </row>
    <row r="11" spans="1:18" s="54" customFormat="1">
      <c r="A11" s="25" t="s">
        <v>21</v>
      </c>
      <c r="B11" s="25"/>
      <c r="C11" s="25">
        <v>4.4000000000000004</v>
      </c>
      <c r="D11" s="25">
        <v>6</v>
      </c>
      <c r="E11" s="26">
        <f t="shared" si="0"/>
        <v>26.400000000000002</v>
      </c>
      <c r="F11" s="25">
        <v>0</v>
      </c>
      <c r="G11" s="25">
        <f t="shared" si="1"/>
        <v>18</v>
      </c>
      <c r="H11" s="25">
        <f t="shared" si="2"/>
        <v>0</v>
      </c>
      <c r="I11" s="43">
        <f t="shared" si="3"/>
        <v>26.400000000000002</v>
      </c>
      <c r="J11" s="45" t="s">
        <v>63</v>
      </c>
      <c r="K11" s="66" t="s">
        <v>63</v>
      </c>
      <c r="L11" s="33"/>
      <c r="M11" s="33"/>
      <c r="N11" s="33"/>
      <c r="O11" s="33"/>
      <c r="P11" s="33"/>
      <c r="Q11" s="82">
        <f t="shared" si="4"/>
        <v>26.400000000000002</v>
      </c>
      <c r="R11" s="82">
        <f t="shared" si="5"/>
        <v>0</v>
      </c>
    </row>
    <row r="12" spans="1:18" s="52" customFormat="1" ht="28.2">
      <c r="A12" s="76" t="s">
        <v>86</v>
      </c>
      <c r="B12" s="77" t="s">
        <v>95</v>
      </c>
      <c r="C12" s="76"/>
      <c r="D12" s="76"/>
      <c r="E12" s="78"/>
      <c r="F12" s="76"/>
      <c r="G12" s="76"/>
      <c r="H12" s="76"/>
      <c r="I12" s="79">
        <f>35*8/7</f>
        <v>40</v>
      </c>
      <c r="J12" s="80"/>
      <c r="K12" s="66" t="s">
        <v>63</v>
      </c>
      <c r="L12" s="67"/>
      <c r="M12" s="33"/>
      <c r="N12" s="33"/>
      <c r="O12" s="33"/>
      <c r="P12" s="33"/>
      <c r="Q12" s="82">
        <f t="shared" si="4"/>
        <v>40</v>
      </c>
      <c r="R12" s="82">
        <f t="shared" si="5"/>
        <v>0</v>
      </c>
    </row>
    <row r="13" spans="1:18">
      <c r="A13" s="21" t="s">
        <v>22</v>
      </c>
      <c r="B13" s="21"/>
      <c r="C13" s="21">
        <v>2</v>
      </c>
      <c r="D13" s="21">
        <v>24</v>
      </c>
      <c r="E13" s="22">
        <f t="shared" ref="E13:E18" si="6">C13*D13</f>
        <v>48</v>
      </c>
      <c r="F13" s="21">
        <v>0</v>
      </c>
      <c r="G13" s="21">
        <f>24-D13</f>
        <v>0</v>
      </c>
      <c r="H13" s="21">
        <f t="shared" ref="H13:H18" si="7">F13*G13</f>
        <v>0</v>
      </c>
      <c r="I13" s="42">
        <f t="shared" ref="I13:I18" si="8">E13+H13</f>
        <v>48</v>
      </c>
      <c r="J13" s="51" t="s">
        <v>63</v>
      </c>
      <c r="K13" s="69" t="s">
        <v>63</v>
      </c>
      <c r="L13" s="70"/>
      <c r="M13" s="70"/>
      <c r="N13" s="70"/>
      <c r="O13" s="70"/>
      <c r="P13" s="70"/>
      <c r="Q13" s="72">
        <f t="shared" si="4"/>
        <v>48</v>
      </c>
      <c r="R13" s="72">
        <f t="shared" si="5"/>
        <v>0</v>
      </c>
    </row>
    <row r="14" spans="1:18" s="52" customFormat="1">
      <c r="A14" s="25" t="s">
        <v>28</v>
      </c>
      <c r="B14" s="25"/>
      <c r="C14" s="25">
        <v>2</v>
      </c>
      <c r="D14" s="25">
        <v>24</v>
      </c>
      <c r="E14" s="26">
        <f t="shared" si="6"/>
        <v>48</v>
      </c>
      <c r="F14" s="25">
        <v>0</v>
      </c>
      <c r="G14" s="25">
        <f>24-D14</f>
        <v>0</v>
      </c>
      <c r="H14" s="25">
        <f t="shared" si="7"/>
        <v>0</v>
      </c>
      <c r="I14" s="43">
        <f t="shared" si="8"/>
        <v>48</v>
      </c>
      <c r="J14" s="45" t="s">
        <v>63</v>
      </c>
      <c r="K14" s="66" t="s">
        <v>63</v>
      </c>
      <c r="L14" s="33"/>
      <c r="M14" s="33"/>
      <c r="N14" s="33"/>
      <c r="O14" s="33"/>
      <c r="P14" s="33"/>
      <c r="Q14" s="82">
        <f t="shared" si="4"/>
        <v>48</v>
      </c>
      <c r="R14" s="82">
        <f t="shared" si="5"/>
        <v>0</v>
      </c>
    </row>
    <row r="15" spans="1:18">
      <c r="A15" s="21" t="s">
        <v>32</v>
      </c>
      <c r="B15" s="21" t="s">
        <v>35</v>
      </c>
      <c r="C15" s="21">
        <v>2.7</v>
      </c>
      <c r="D15" s="21">
        <v>24</v>
      </c>
      <c r="E15" s="22">
        <f t="shared" si="6"/>
        <v>64.800000000000011</v>
      </c>
      <c r="F15" s="21">
        <v>0</v>
      </c>
      <c r="G15" s="21">
        <v>0</v>
      </c>
      <c r="H15" s="21">
        <f t="shared" si="7"/>
        <v>0</v>
      </c>
      <c r="I15" s="42">
        <f t="shared" si="8"/>
        <v>64.800000000000011</v>
      </c>
      <c r="J15" s="53" t="s">
        <v>67</v>
      </c>
      <c r="K15" s="69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2">
        <f t="shared" si="5"/>
        <v>64.800000000000011</v>
      </c>
    </row>
    <row r="16" spans="1:18" s="52" customFormat="1">
      <c r="A16" s="25" t="s">
        <v>17</v>
      </c>
      <c r="B16" s="25" t="s">
        <v>33</v>
      </c>
      <c r="C16" s="25">
        <v>395</v>
      </c>
      <c r="D16" s="26">
        <f>5*2/60</f>
        <v>0.16666666666666666</v>
      </c>
      <c r="E16" s="26">
        <f t="shared" si="6"/>
        <v>65.833333333333329</v>
      </c>
      <c r="F16" s="25">
        <v>0</v>
      </c>
      <c r="G16" s="26">
        <f>24-D16</f>
        <v>23.833333333333332</v>
      </c>
      <c r="H16" s="25">
        <f t="shared" si="7"/>
        <v>0</v>
      </c>
      <c r="I16" s="43">
        <f t="shared" si="8"/>
        <v>65.833333333333329</v>
      </c>
      <c r="J16" s="45" t="s">
        <v>63</v>
      </c>
      <c r="K16" s="66" t="s">
        <v>63</v>
      </c>
      <c r="L16" s="33"/>
      <c r="M16" s="33"/>
      <c r="N16" s="33"/>
      <c r="O16" s="33"/>
      <c r="P16" s="33"/>
      <c r="Q16" s="82">
        <f>I15</f>
        <v>64.800000000000011</v>
      </c>
      <c r="R16" s="82">
        <f t="shared" si="5"/>
        <v>1.0333333333333172</v>
      </c>
    </row>
    <row r="17" spans="1:18">
      <c r="A17" s="21" t="s">
        <v>25</v>
      </c>
      <c r="B17" s="21"/>
      <c r="C17" s="21">
        <v>7</v>
      </c>
      <c r="D17" s="21">
        <v>12</v>
      </c>
      <c r="E17" s="22">
        <f t="shared" si="6"/>
        <v>84</v>
      </c>
      <c r="F17" s="21">
        <v>0</v>
      </c>
      <c r="G17" s="21">
        <f>24-D17</f>
        <v>12</v>
      </c>
      <c r="H17" s="21">
        <f t="shared" si="7"/>
        <v>0</v>
      </c>
      <c r="I17" s="42">
        <f t="shared" si="8"/>
        <v>84</v>
      </c>
      <c r="J17" s="44" t="s">
        <v>81</v>
      </c>
      <c r="K17" s="69" t="s">
        <v>63</v>
      </c>
      <c r="L17" s="70"/>
      <c r="M17" s="70"/>
      <c r="N17" s="70"/>
      <c r="O17" s="70"/>
      <c r="P17" s="70"/>
      <c r="Q17" s="72">
        <f t="shared" ref="Q17:Q21" si="9">I16</f>
        <v>65.833333333333329</v>
      </c>
      <c r="R17" s="72">
        <f t="shared" si="5"/>
        <v>18.166666666666671</v>
      </c>
    </row>
    <row r="18" spans="1:18" s="52" customFormat="1">
      <c r="A18" s="25" t="s">
        <v>31</v>
      </c>
      <c r="B18" s="25"/>
      <c r="C18" s="25">
        <v>4.5</v>
      </c>
      <c r="D18" s="25">
        <v>24</v>
      </c>
      <c r="E18" s="26">
        <f t="shared" si="6"/>
        <v>108</v>
      </c>
      <c r="F18" s="25">
        <v>0</v>
      </c>
      <c r="G18" s="25">
        <f>24-D18</f>
        <v>0</v>
      </c>
      <c r="H18" s="25">
        <f t="shared" si="7"/>
        <v>0</v>
      </c>
      <c r="I18" s="43">
        <f t="shared" si="8"/>
        <v>108</v>
      </c>
      <c r="J18" s="45" t="s">
        <v>63</v>
      </c>
      <c r="K18" s="66" t="s">
        <v>63</v>
      </c>
      <c r="L18" s="33"/>
      <c r="M18" s="33"/>
      <c r="N18" s="33"/>
      <c r="O18" s="33"/>
      <c r="P18" s="33"/>
      <c r="Q18" s="82">
        <f t="shared" si="9"/>
        <v>84</v>
      </c>
      <c r="R18" s="82">
        <f t="shared" si="5"/>
        <v>24</v>
      </c>
    </row>
    <row r="19" spans="1:18" ht="42">
      <c r="A19" s="21" t="s">
        <v>44</v>
      </c>
      <c r="B19" s="40" t="s">
        <v>60</v>
      </c>
      <c r="C19" s="21"/>
      <c r="D19" s="22"/>
      <c r="E19" s="22"/>
      <c r="F19" s="21"/>
      <c r="G19" s="22"/>
      <c r="H19" s="22"/>
      <c r="I19" s="42">
        <f>1.737*1000/14</f>
        <v>124.07142857142857</v>
      </c>
      <c r="J19" s="44" t="s">
        <v>82</v>
      </c>
      <c r="K19" s="69" t="s">
        <v>63</v>
      </c>
      <c r="L19" s="70"/>
      <c r="M19" s="70"/>
      <c r="N19" s="70"/>
      <c r="O19" s="70"/>
      <c r="P19" s="70"/>
      <c r="Q19" s="72">
        <f t="shared" si="9"/>
        <v>108</v>
      </c>
      <c r="R19" s="72">
        <f t="shared" si="5"/>
        <v>16.071428571428569</v>
      </c>
    </row>
    <row r="20" spans="1:18" s="52" customFormat="1" ht="28.8">
      <c r="A20" s="25" t="s">
        <v>40</v>
      </c>
      <c r="B20" s="25" t="s">
        <v>68</v>
      </c>
      <c r="C20" s="25">
        <v>1370</v>
      </c>
      <c r="D20" s="26">
        <f>15/60</f>
        <v>0.25</v>
      </c>
      <c r="E20" s="26">
        <f>C20*D20</f>
        <v>342.5</v>
      </c>
      <c r="F20" s="25">
        <v>1.7</v>
      </c>
      <c r="G20" s="26">
        <f>24-D20</f>
        <v>23.75</v>
      </c>
      <c r="H20" s="26">
        <f>F20*G20</f>
        <v>40.375</v>
      </c>
      <c r="I20" s="43">
        <f>E20+H20</f>
        <v>382.875</v>
      </c>
      <c r="J20" s="49" t="s">
        <v>82</v>
      </c>
      <c r="K20" s="66" t="s">
        <v>63</v>
      </c>
      <c r="L20" s="33"/>
      <c r="M20" s="33"/>
      <c r="N20" s="33"/>
      <c r="O20" s="33"/>
      <c r="P20" s="33"/>
      <c r="Q20" s="82">
        <f t="shared" si="9"/>
        <v>124.07142857142857</v>
      </c>
      <c r="R20" s="82">
        <f t="shared" si="5"/>
        <v>258.80357142857144</v>
      </c>
    </row>
    <row r="21" spans="1:18" s="14" customFormat="1">
      <c r="A21" s="21" t="s">
        <v>71</v>
      </c>
      <c r="B21" s="40" t="s">
        <v>72</v>
      </c>
      <c r="C21" s="21"/>
      <c r="D21" s="21"/>
      <c r="E21" s="22"/>
      <c r="F21" s="21"/>
      <c r="G21" s="21"/>
      <c r="H21" s="21"/>
      <c r="I21" s="42">
        <f>997*4/7</f>
        <v>569.71428571428567</v>
      </c>
      <c r="J21" s="51" t="s">
        <v>63</v>
      </c>
      <c r="K21" s="69" t="s">
        <v>63</v>
      </c>
      <c r="L21" s="70"/>
      <c r="M21" s="70"/>
      <c r="N21" s="70"/>
      <c r="O21" s="70"/>
      <c r="P21" s="70"/>
      <c r="Q21" s="72">
        <f t="shared" si="9"/>
        <v>382.875</v>
      </c>
      <c r="R21" s="72">
        <f t="shared" si="5"/>
        <v>186.83928571428567</v>
      </c>
    </row>
    <row r="22" spans="1:18" s="52" customFormat="1" ht="28.8">
      <c r="A22" s="25" t="s">
        <v>37</v>
      </c>
      <c r="B22" s="25" t="s">
        <v>36</v>
      </c>
      <c r="C22" s="25">
        <v>80</v>
      </c>
      <c r="D22" s="25">
        <v>10</v>
      </c>
      <c r="E22" s="26">
        <f>C22*D22</f>
        <v>800</v>
      </c>
      <c r="F22" s="25">
        <v>3.5</v>
      </c>
      <c r="G22" s="25">
        <f>24-D22</f>
        <v>14</v>
      </c>
      <c r="H22" s="25">
        <f>F22*G22</f>
        <v>49</v>
      </c>
      <c r="I22" s="43">
        <f>E22+H22</f>
        <v>849</v>
      </c>
      <c r="J22" s="49" t="s">
        <v>73</v>
      </c>
      <c r="K22" s="73">
        <v>72</v>
      </c>
      <c r="L22" s="33">
        <v>9</v>
      </c>
      <c r="M22" s="33">
        <f>K22*L22</f>
        <v>648</v>
      </c>
      <c r="N22" s="33">
        <v>3</v>
      </c>
      <c r="O22" s="33">
        <f>24-L22</f>
        <v>15</v>
      </c>
      <c r="P22" s="33">
        <f>N22*O22</f>
        <v>45</v>
      </c>
      <c r="Q22" s="33">
        <f>M22+P22</f>
        <v>693</v>
      </c>
      <c r="R22" s="82">
        <f>I22-Q22</f>
        <v>156</v>
      </c>
    </row>
    <row r="23" spans="1:18" s="14" customFormat="1" ht="57.6">
      <c r="A23" s="21" t="s">
        <v>18</v>
      </c>
      <c r="B23" s="40" t="s">
        <v>58</v>
      </c>
      <c r="C23" s="21"/>
      <c r="D23" s="21"/>
      <c r="E23" s="22"/>
      <c r="F23" s="21"/>
      <c r="G23" s="21"/>
      <c r="H23" s="21">
        <f>F23*G23</f>
        <v>0</v>
      </c>
      <c r="I23" s="42">
        <f>5.607/5*1000</f>
        <v>1121.3999999999999</v>
      </c>
      <c r="J23" s="44" t="s">
        <v>99</v>
      </c>
      <c r="K23" s="74"/>
      <c r="L23" s="70"/>
      <c r="M23" s="70"/>
      <c r="N23" s="70"/>
      <c r="O23" s="70"/>
      <c r="P23" s="70"/>
      <c r="Q23" s="70">
        <v>570</v>
      </c>
      <c r="R23" s="72">
        <f t="shared" si="5"/>
        <v>551.39999999999986</v>
      </c>
    </row>
    <row r="24" spans="1:18" s="52" customFormat="1" ht="28.8">
      <c r="A24" s="81" t="s">
        <v>34</v>
      </c>
      <c r="B24" s="25" t="s">
        <v>88</v>
      </c>
      <c r="C24" s="25">
        <v>180</v>
      </c>
      <c r="D24" s="25">
        <v>5</v>
      </c>
      <c r="E24" s="26">
        <f>C24*D24</f>
        <v>900</v>
      </c>
      <c r="F24" s="25">
        <v>12</v>
      </c>
      <c r="G24" s="25">
        <f>24-D24</f>
        <v>19</v>
      </c>
      <c r="H24" s="25">
        <f>F24*G24</f>
        <v>228</v>
      </c>
      <c r="I24" s="43">
        <f>E24+H24</f>
        <v>1128</v>
      </c>
      <c r="J24" s="49" t="s">
        <v>87</v>
      </c>
      <c r="K24" s="73">
        <v>180</v>
      </c>
      <c r="L24" s="33">
        <v>5</v>
      </c>
      <c r="M24" s="33">
        <f>K24*L24</f>
        <v>900</v>
      </c>
      <c r="N24" s="33">
        <v>6</v>
      </c>
      <c r="O24" s="33">
        <f>24-L24</f>
        <v>19</v>
      </c>
      <c r="P24" s="33">
        <f>N24*O24</f>
        <v>114</v>
      </c>
      <c r="Q24" s="33">
        <f>M24+P24</f>
        <v>1014</v>
      </c>
      <c r="R24" s="82">
        <f t="shared" si="5"/>
        <v>114</v>
      </c>
    </row>
    <row r="25" spans="1:18" s="52" customFormat="1" ht="55.8">
      <c r="A25" s="58" t="s">
        <v>89</v>
      </c>
      <c r="B25" s="57" t="s">
        <v>59</v>
      </c>
      <c r="C25" s="58"/>
      <c r="D25" s="58"/>
      <c r="E25" s="59"/>
      <c r="F25" s="58"/>
      <c r="G25" s="58"/>
      <c r="H25" s="58"/>
      <c r="I25" s="60">
        <f>4.023*1000</f>
        <v>4022.9999999999995</v>
      </c>
      <c r="J25" s="61" t="s">
        <v>100</v>
      </c>
      <c r="K25" s="75"/>
      <c r="L25" s="71"/>
      <c r="M25" s="70"/>
      <c r="N25" s="70"/>
      <c r="O25" s="70"/>
      <c r="P25" s="70"/>
      <c r="Q25" s="70">
        <v>613</v>
      </c>
      <c r="R25" s="72">
        <f t="shared" si="5"/>
        <v>3409.9999999999995</v>
      </c>
    </row>
    <row r="26" spans="1:18" s="52" customFormat="1" ht="28.8">
      <c r="A26" s="25" t="s">
        <v>61</v>
      </c>
      <c r="B26" s="41" t="s">
        <v>62</v>
      </c>
      <c r="C26" s="25" t="s">
        <v>63</v>
      </c>
      <c r="D26" s="25"/>
      <c r="E26" s="26"/>
      <c r="F26" s="25"/>
      <c r="G26" s="25"/>
      <c r="H26" s="25"/>
      <c r="I26" s="43" t="s">
        <v>63</v>
      </c>
      <c r="J26" s="49" t="s">
        <v>74</v>
      </c>
      <c r="K26" s="69" t="s">
        <v>63</v>
      </c>
      <c r="L26" s="70"/>
      <c r="M26" s="70"/>
      <c r="N26" s="70"/>
      <c r="O26" s="70"/>
      <c r="P26" s="70"/>
      <c r="Q26" s="70" t="s">
        <v>63</v>
      </c>
      <c r="R26" s="70"/>
    </row>
    <row r="27" spans="1:18" s="52" customFormat="1">
      <c r="A27" s="21"/>
      <c r="B27" s="21"/>
      <c r="C27" s="21"/>
      <c r="D27" s="21"/>
      <c r="E27" s="21"/>
      <c r="F27" s="21"/>
      <c r="G27" s="21"/>
      <c r="H27" s="21"/>
      <c r="I27" s="21"/>
      <c r="J27" s="51"/>
      <c r="K27" s="69"/>
      <c r="L27" s="70"/>
      <c r="M27" s="70"/>
      <c r="N27" s="70"/>
      <c r="O27" s="70"/>
      <c r="P27" s="70"/>
      <c r="Q27" s="70"/>
      <c r="R27" s="70"/>
    </row>
    <row r="28" spans="1:18" ht="43.2">
      <c r="A28" s="62" t="s">
        <v>96</v>
      </c>
      <c r="B28" s="24"/>
      <c r="C28" s="24"/>
      <c r="D28" s="24"/>
      <c r="E28" s="24"/>
      <c r="F28" s="24"/>
      <c r="G28" s="24"/>
      <c r="H28" s="24"/>
      <c r="I28" s="27">
        <f>SUM(I2:I27)</f>
        <v>8813.4940476190477</v>
      </c>
      <c r="J28" s="46"/>
      <c r="K28" s="66"/>
      <c r="L28" s="67" t="s">
        <v>64</v>
      </c>
      <c r="M28" s="33"/>
      <c r="N28" s="33"/>
      <c r="O28" s="33"/>
      <c r="P28" s="33"/>
      <c r="Q28" s="82">
        <f>SUM(Q2:Q27)</f>
        <v>4012.3797619047618</v>
      </c>
      <c r="R28" s="82">
        <f>I28-Q28</f>
        <v>4801.1142857142859</v>
      </c>
    </row>
    <row r="29" spans="1:18" ht="42">
      <c r="A29" s="63" t="s">
        <v>97</v>
      </c>
      <c r="B29" s="23"/>
      <c r="C29" s="23"/>
      <c r="D29" s="23"/>
      <c r="E29" s="23"/>
      <c r="F29" s="23"/>
      <c r="G29" s="23"/>
      <c r="H29" s="23"/>
      <c r="I29" s="28">
        <f>(365*I28)-(365/4*3*I25)</f>
        <v>2115629.0773809524</v>
      </c>
      <c r="J29" s="28"/>
      <c r="K29" s="72"/>
      <c r="L29" s="70"/>
      <c r="M29" s="70"/>
      <c r="N29" s="70"/>
      <c r="O29" s="70"/>
      <c r="P29" s="70"/>
      <c r="Q29" s="83">
        <f>(365*Q28)-(365/4*3*Q25)</f>
        <v>1296709.8630952381</v>
      </c>
      <c r="R29" s="72">
        <f t="shared" ref="R29:R30" si="10">I29-Q29</f>
        <v>818919.21428571432</v>
      </c>
    </row>
    <row r="30" spans="1:18" ht="42">
      <c r="A30" s="64" t="s">
        <v>98</v>
      </c>
      <c r="B30" s="24"/>
      <c r="C30" s="24"/>
      <c r="D30" s="24"/>
      <c r="E30" s="24"/>
      <c r="F30" s="24"/>
      <c r="G30" s="24"/>
      <c r="H30" s="24"/>
      <c r="I30" s="29">
        <f>I29/3</f>
        <v>705209.69246031751</v>
      </c>
      <c r="J30" s="47"/>
      <c r="K30" s="68"/>
      <c r="L30" s="33"/>
      <c r="M30" s="33"/>
      <c r="N30" s="33"/>
      <c r="O30" s="33"/>
      <c r="P30" s="33"/>
      <c r="Q30" s="82">
        <f>Q29/3</f>
        <v>432236.62103174604</v>
      </c>
      <c r="R30" s="82">
        <f t="shared" si="10"/>
        <v>272973.07142857148</v>
      </c>
    </row>
    <row r="32" spans="1:18">
      <c r="B32" s="14" t="s">
        <v>120</v>
      </c>
      <c r="J32" s="14" t="s">
        <v>70</v>
      </c>
    </row>
  </sheetData>
  <sortState ref="A2:T26">
    <sortCondition ref="I2:I26"/>
  </sortState>
  <pageMargins left="0.46" right="0.43" top="0.75" bottom="0.75" header="0.27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90" zoomScaleNormal="90" workbookViewId="0">
      <pane ySplit="1" topLeftCell="A32" activePane="bottomLeft" state="frozen"/>
      <selection pane="bottomLeft" activeCell="A53" sqref="A53"/>
    </sheetView>
  </sheetViews>
  <sheetFormatPr defaultRowHeight="14.4"/>
  <cols>
    <col min="1" max="1" width="59.44140625" customWidth="1"/>
    <col min="2" max="2" width="29" customWidth="1"/>
    <col min="3" max="3" width="9.33203125" bestFit="1" customWidth="1"/>
  </cols>
  <sheetData>
    <row r="1" spans="1:7">
      <c r="A1" s="12" t="s">
        <v>6</v>
      </c>
      <c r="B1" s="15" t="s">
        <v>7</v>
      </c>
      <c r="C1" s="16"/>
      <c r="D1" s="13"/>
      <c r="E1" s="13"/>
      <c r="F1" s="13"/>
      <c r="G1" s="13"/>
    </row>
    <row r="2" spans="1:7">
      <c r="A2" s="30" t="s">
        <v>65</v>
      </c>
      <c r="B2" s="17"/>
      <c r="C2" s="13"/>
      <c r="D2" s="13"/>
      <c r="E2" s="13"/>
      <c r="F2" s="13"/>
      <c r="G2" s="13"/>
    </row>
    <row r="3" spans="1:7" s="14" customFormat="1">
      <c r="A3" s="17" t="s">
        <v>57</v>
      </c>
      <c r="B3" s="17"/>
      <c r="C3" s="16"/>
      <c r="D3" s="16"/>
      <c r="E3" s="16"/>
      <c r="F3" s="16"/>
      <c r="G3" s="16"/>
    </row>
    <row r="4" spans="1:7">
      <c r="A4" s="17" t="s">
        <v>48</v>
      </c>
      <c r="B4" s="18">
        <v>13940</v>
      </c>
      <c r="C4" s="13"/>
      <c r="D4" s="13"/>
      <c r="E4" s="13"/>
      <c r="F4" s="13"/>
      <c r="G4" s="13"/>
    </row>
    <row r="5" spans="1:7">
      <c r="A5" s="17" t="s">
        <v>49</v>
      </c>
      <c r="B5" s="18">
        <v>18915</v>
      </c>
      <c r="C5" s="13"/>
      <c r="D5" s="13"/>
      <c r="E5" s="13"/>
      <c r="F5" s="13"/>
      <c r="G5" s="13"/>
    </row>
    <row r="6" spans="1:7">
      <c r="A6" s="17" t="s">
        <v>50</v>
      </c>
      <c r="B6" s="18">
        <v>8977</v>
      </c>
      <c r="C6" s="13"/>
      <c r="D6" s="13"/>
      <c r="E6" s="13"/>
      <c r="F6" s="13"/>
      <c r="G6" s="13"/>
    </row>
    <row r="7" spans="1:7" s="14" customFormat="1">
      <c r="A7" s="17"/>
      <c r="B7" s="18"/>
      <c r="C7" s="16"/>
      <c r="D7" s="16"/>
      <c r="E7" s="16"/>
      <c r="F7" s="16"/>
      <c r="G7" s="16"/>
    </row>
    <row r="8" spans="1:7">
      <c r="A8" s="17" t="s">
        <v>56</v>
      </c>
      <c r="B8" s="18"/>
      <c r="C8" s="13"/>
      <c r="D8" s="13"/>
      <c r="E8" s="13"/>
      <c r="F8" s="13"/>
      <c r="G8" s="13"/>
    </row>
    <row r="9" spans="1:7">
      <c r="A9" s="17" t="s">
        <v>45</v>
      </c>
      <c r="B9" s="18">
        <v>13992</v>
      </c>
      <c r="C9" s="13"/>
      <c r="D9" s="13"/>
      <c r="E9" s="13"/>
      <c r="F9" s="13"/>
      <c r="G9" s="13"/>
    </row>
    <row r="10" spans="1:7">
      <c r="A10" s="17" t="s">
        <v>46</v>
      </c>
      <c r="B10" s="18">
        <v>18965</v>
      </c>
      <c r="C10" s="13"/>
      <c r="D10" s="13"/>
      <c r="E10" s="13"/>
      <c r="F10" s="13"/>
      <c r="G10" s="13"/>
    </row>
    <row r="11" spans="1:7">
      <c r="A11" s="17" t="s">
        <v>47</v>
      </c>
      <c r="B11" s="18">
        <v>9018</v>
      </c>
      <c r="C11" s="13"/>
      <c r="D11" s="13"/>
      <c r="E11" s="13"/>
      <c r="F11" s="13"/>
      <c r="G11" s="13"/>
    </row>
    <row r="12" spans="1:7">
      <c r="A12" s="17"/>
      <c r="B12" s="18"/>
      <c r="C12" s="13"/>
      <c r="D12" s="13"/>
      <c r="E12" s="13"/>
      <c r="F12" s="13"/>
      <c r="G12" s="13"/>
    </row>
    <row r="13" spans="1:7">
      <c r="A13" s="17" t="s">
        <v>8</v>
      </c>
      <c r="B13" s="18">
        <f>B9-B4</f>
        <v>52</v>
      </c>
      <c r="C13" s="13"/>
      <c r="D13" s="13"/>
      <c r="E13" s="13"/>
      <c r="F13" s="13"/>
      <c r="G13" s="13"/>
    </row>
    <row r="14" spans="1:7">
      <c r="A14" s="17" t="s">
        <v>9</v>
      </c>
      <c r="B14" s="18">
        <f>B10-B5</f>
        <v>50</v>
      </c>
      <c r="C14" s="13"/>
      <c r="D14" s="13"/>
      <c r="E14" s="13"/>
      <c r="F14" s="13"/>
      <c r="G14" s="13"/>
    </row>
    <row r="15" spans="1:7">
      <c r="A15" s="17" t="s">
        <v>10</v>
      </c>
      <c r="B15" s="18">
        <f>B11-B6</f>
        <v>41</v>
      </c>
      <c r="C15" s="13"/>
      <c r="D15" s="13"/>
      <c r="E15" s="13"/>
      <c r="F15" s="13"/>
      <c r="G15" s="13"/>
    </row>
    <row r="16" spans="1:7" s="14" customFormat="1">
      <c r="A16" s="17"/>
      <c r="B16" s="18"/>
      <c r="C16" s="16"/>
      <c r="D16" s="16"/>
      <c r="E16" s="16"/>
      <c r="F16" s="16"/>
      <c r="G16" s="16"/>
    </row>
    <row r="17" spans="1:7" s="14" customFormat="1">
      <c r="A17" s="34" t="s">
        <v>51</v>
      </c>
      <c r="B17" s="18">
        <f>SUM(B13:B16)</f>
        <v>143</v>
      </c>
      <c r="C17" s="16"/>
      <c r="D17" s="16"/>
      <c r="E17" s="16"/>
      <c r="F17" s="16"/>
      <c r="G17" s="16"/>
    </row>
    <row r="18" spans="1:7" s="14" customFormat="1">
      <c r="A18" s="34"/>
      <c r="B18" s="18"/>
      <c r="C18" s="16"/>
      <c r="D18" s="16"/>
      <c r="E18" s="16"/>
      <c r="F18" s="16"/>
      <c r="G18" s="16"/>
    </row>
    <row r="19" spans="1:7" s="14" customFormat="1">
      <c r="A19" s="35" t="s">
        <v>77</v>
      </c>
      <c r="B19" s="18">
        <f>B17/9/3</f>
        <v>5.2962962962962967</v>
      </c>
      <c r="C19" s="16"/>
      <c r="D19" s="16"/>
      <c r="E19" s="16"/>
      <c r="F19" s="16"/>
      <c r="G19" s="16"/>
    </row>
    <row r="20" spans="1:7" s="14" customFormat="1">
      <c r="A20" s="35" t="s">
        <v>76</v>
      </c>
      <c r="B20" s="36">
        <f>B17/9*7</f>
        <v>111.22222222222223</v>
      </c>
      <c r="C20" s="16"/>
      <c r="D20" s="16"/>
      <c r="E20" s="16"/>
      <c r="F20" s="16"/>
      <c r="G20" s="16"/>
    </row>
    <row r="21" spans="1:7" s="14" customFormat="1">
      <c r="A21" s="35" t="s">
        <v>107</v>
      </c>
      <c r="B21" s="36">
        <f>B20*52</f>
        <v>5783.5555555555557</v>
      </c>
      <c r="C21" s="16"/>
      <c r="D21" s="16"/>
      <c r="E21" s="16"/>
      <c r="F21" s="16"/>
      <c r="G21" s="16"/>
    </row>
    <row r="22" spans="1:7" s="14" customFormat="1">
      <c r="A22" s="35" t="s">
        <v>78</v>
      </c>
      <c r="B22" s="36">
        <f>B19*365</f>
        <v>1933.1481481481483</v>
      </c>
      <c r="C22" s="16"/>
      <c r="D22" s="16"/>
      <c r="E22" s="16"/>
      <c r="F22" s="16"/>
      <c r="G22" s="16"/>
    </row>
    <row r="23" spans="1:7" s="14" customFormat="1">
      <c r="A23" s="17"/>
      <c r="B23" s="18"/>
      <c r="C23" s="16"/>
      <c r="D23" s="16"/>
      <c r="E23" s="16"/>
      <c r="F23" s="16"/>
      <c r="G23" s="16"/>
    </row>
    <row r="24" spans="1:7" s="14" customFormat="1">
      <c r="A24" s="31" t="s">
        <v>75</v>
      </c>
      <c r="B24" s="32"/>
      <c r="C24" s="16"/>
      <c r="D24" s="16"/>
      <c r="E24" s="16"/>
      <c r="F24" s="16"/>
      <c r="G24" s="16"/>
    </row>
    <row r="25" spans="1:7" s="14" customFormat="1">
      <c r="A25" s="33" t="s">
        <v>55</v>
      </c>
      <c r="B25" s="32"/>
      <c r="C25" s="16"/>
      <c r="D25" s="16"/>
      <c r="E25" s="16"/>
      <c r="F25" s="16"/>
      <c r="G25" s="16"/>
    </row>
    <row r="26" spans="1:7" s="14" customFormat="1">
      <c r="A26" s="33" t="s">
        <v>52</v>
      </c>
      <c r="B26" s="32">
        <v>14005</v>
      </c>
      <c r="C26" s="16"/>
      <c r="D26" s="16"/>
      <c r="E26" s="16"/>
      <c r="F26" s="16"/>
      <c r="G26" s="16"/>
    </row>
    <row r="27" spans="1:7" s="14" customFormat="1">
      <c r="A27" s="33" t="s">
        <v>53</v>
      </c>
      <c r="B27" s="32">
        <v>18986</v>
      </c>
      <c r="C27" s="16"/>
      <c r="D27" s="16"/>
      <c r="E27" s="16"/>
      <c r="F27" s="16"/>
      <c r="G27" s="16"/>
    </row>
    <row r="28" spans="1:7" s="14" customFormat="1">
      <c r="A28" s="33" t="s">
        <v>54</v>
      </c>
      <c r="B28" s="32">
        <v>9027</v>
      </c>
      <c r="C28" s="16"/>
      <c r="D28" s="16"/>
      <c r="E28" s="16"/>
      <c r="F28" s="16"/>
      <c r="G28" s="16"/>
    </row>
    <row r="29" spans="1:7" s="14" customFormat="1">
      <c r="A29" s="33"/>
      <c r="B29" s="32"/>
      <c r="C29" s="16"/>
      <c r="D29" s="16"/>
      <c r="E29" s="16"/>
      <c r="F29" s="16"/>
      <c r="G29" s="16"/>
    </row>
    <row r="30" spans="1:7" s="14" customFormat="1">
      <c r="A30" s="33" t="s">
        <v>56</v>
      </c>
      <c r="B30" s="32"/>
      <c r="C30" s="16"/>
      <c r="D30" s="16"/>
      <c r="E30" s="16"/>
      <c r="F30" s="16"/>
      <c r="G30" s="16"/>
    </row>
    <row r="31" spans="1:7" s="14" customFormat="1">
      <c r="A31" s="33" t="s">
        <v>83</v>
      </c>
      <c r="B31" s="32">
        <v>14039</v>
      </c>
      <c r="C31" s="16"/>
      <c r="D31" s="16"/>
      <c r="E31" s="16"/>
      <c r="F31" s="16"/>
      <c r="G31" s="16"/>
    </row>
    <row r="32" spans="1:7" s="14" customFormat="1">
      <c r="A32" s="33" t="s">
        <v>84</v>
      </c>
      <c r="B32" s="32">
        <v>19019</v>
      </c>
      <c r="C32" s="16"/>
      <c r="D32" s="16"/>
      <c r="E32" s="16"/>
      <c r="F32" s="16"/>
      <c r="G32" s="16"/>
    </row>
    <row r="33" spans="1:7">
      <c r="A33" s="33" t="s">
        <v>85</v>
      </c>
      <c r="B33" s="32">
        <v>9040</v>
      </c>
      <c r="C33" s="13"/>
      <c r="D33" s="13"/>
      <c r="E33" s="13"/>
      <c r="F33" s="13"/>
      <c r="G33" s="13"/>
    </row>
    <row r="34" spans="1:7">
      <c r="A34" s="33"/>
      <c r="B34" s="37"/>
    </row>
    <row r="35" spans="1:7">
      <c r="A35" s="33" t="s">
        <v>8</v>
      </c>
      <c r="B35" s="82">
        <f>B31-B26</f>
        <v>34</v>
      </c>
      <c r="C35" s="55"/>
    </row>
    <row r="36" spans="1:7">
      <c r="A36" s="33" t="s">
        <v>9</v>
      </c>
      <c r="B36" s="82">
        <f>B32-B27</f>
        <v>33</v>
      </c>
      <c r="C36" s="55"/>
    </row>
    <row r="37" spans="1:7">
      <c r="A37" s="33" t="s">
        <v>10</v>
      </c>
      <c r="B37" s="82">
        <f>B33-B28</f>
        <v>13</v>
      </c>
      <c r="C37" s="55"/>
    </row>
    <row r="38" spans="1:7">
      <c r="A38" s="33"/>
      <c r="B38" s="37"/>
    </row>
    <row r="39" spans="1:7">
      <c r="A39" s="38" t="s">
        <v>51</v>
      </c>
      <c r="B39" s="82">
        <f>SUM(B35:B38)</f>
        <v>80</v>
      </c>
      <c r="C39" s="55"/>
    </row>
    <row r="40" spans="1:7">
      <c r="A40" s="38"/>
      <c r="B40" s="33"/>
    </row>
    <row r="41" spans="1:7">
      <c r="A41" s="39" t="s">
        <v>77</v>
      </c>
      <c r="B41" s="82">
        <f>B39/7/3</f>
        <v>3.8095238095238098</v>
      </c>
      <c r="C41" s="55"/>
    </row>
    <row r="42" spans="1:7">
      <c r="A42" s="39" t="s">
        <v>76</v>
      </c>
      <c r="B42" s="82">
        <f>B39</f>
        <v>80</v>
      </c>
      <c r="C42" s="55"/>
    </row>
    <row r="43" spans="1:7" s="14" customFormat="1">
      <c r="A43" s="39" t="s">
        <v>107</v>
      </c>
      <c r="B43" s="82">
        <f>B42*52</f>
        <v>4160</v>
      </c>
      <c r="C43" s="55"/>
    </row>
    <row r="44" spans="1:7">
      <c r="A44" s="39" t="s">
        <v>78</v>
      </c>
      <c r="B44" s="82">
        <f>B42*52/3</f>
        <v>1386.6666666666667</v>
      </c>
      <c r="C44" s="56"/>
    </row>
    <row r="45" spans="1:7" s="14" customFormat="1">
      <c r="A45" s="84"/>
      <c r="B45" s="85"/>
      <c r="C45" s="56"/>
    </row>
    <row r="46" spans="1:7" s="14" customFormat="1">
      <c r="A46" s="84" t="s">
        <v>102</v>
      </c>
      <c r="B46" s="85">
        <f>B20-B42</f>
        <v>31.222222222222229</v>
      </c>
      <c r="C46" s="56"/>
    </row>
    <row r="47" spans="1:7" s="14" customFormat="1">
      <c r="A47" s="84" t="s">
        <v>103</v>
      </c>
      <c r="B47" s="85">
        <f>B46*52/3</f>
        <v>541.18518518518533</v>
      </c>
      <c r="C47" s="56"/>
    </row>
    <row r="48" spans="1:7" s="14" customFormat="1">
      <c r="A48" s="84"/>
      <c r="B48" s="85"/>
      <c r="C48" s="56"/>
    </row>
    <row r="49" spans="1:2">
      <c r="A49" s="86"/>
      <c r="B49" s="86"/>
    </row>
    <row r="51" spans="1:2">
      <c r="A51" s="48" t="s">
        <v>69</v>
      </c>
    </row>
    <row r="52" spans="1:2">
      <c r="A52" s="19" t="s">
        <v>101</v>
      </c>
    </row>
    <row r="53" spans="1:2">
      <c r="A53" s="19" t="s">
        <v>124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Power &amp; CO2e saved</vt:lpstr>
      <vt:lpstr>Appliances</vt:lpstr>
      <vt:lpstr>Meter readings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clay</dc:creator>
  <cp:lastModifiedBy>Joanne clay</cp:lastModifiedBy>
  <cp:lastPrinted>2019-06-01T04:17:22Z</cp:lastPrinted>
  <dcterms:created xsi:type="dcterms:W3CDTF">2019-05-04T01:27:23Z</dcterms:created>
  <dcterms:modified xsi:type="dcterms:W3CDTF">2019-06-17T09:24:21Z</dcterms:modified>
</cp:coreProperties>
</file>