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pectre\Desktop\ERSTE\VANREDNA SKUPSTINA IMPEX\"/>
    </mc:Choice>
  </mc:AlternateContent>
  <xr:revisionPtr revIDLastSave="0" documentId="8_{74BB9AB2-D184-4EA7-9DA1-5CA9EEE9280C}" xr6:coauthVersionLast="47" xr6:coauthVersionMax="47" xr10:uidLastSave="{00000000-0000-0000-0000-000000000000}"/>
  <bookViews>
    <workbookView xWindow="-108" yWindow="-108" windowWidth="23256" windowHeight="12456" tabRatio="984" activeTab="1" xr2:uid="{D68CEE1D-EABA-491E-A954-7397B472F59A}"/>
  </bookViews>
  <sheets>
    <sheet name="Note" sheetId="26" r:id="rId1"/>
    <sheet name="Overview" sheetId="32" r:id="rId2"/>
    <sheet name="Conso ERGO Group" sheetId="31" r:id="rId3"/>
  </sheets>
  <definedNames>
    <definedName name="__xlnm.Print_Area_10">#N/A</definedName>
    <definedName name="__xlnm.Print_Area_11">#REF!</definedName>
    <definedName name="__xlnm.Print_Area_8">#REF!</definedName>
    <definedName name="aaa">#REF!</definedName>
    <definedName name="account" localSheetId="2">#REF!</definedName>
    <definedName name="account">#REF!</definedName>
    <definedName name="Akur" localSheetId="2">#REF!</definedName>
    <definedName name="Akur">#REF!</definedName>
    <definedName name="AOP" localSheetId="2">#REF!</definedName>
    <definedName name="AOP">#REF!</definedName>
    <definedName name="bazazl" localSheetId="2">#REF!</definedName>
    <definedName name="bazazl">#REF!</definedName>
    <definedName name="Bazica" localSheetId="2">#REF!</definedName>
    <definedName name="Bazica">#REF!</definedName>
    <definedName name="blub" localSheetId="2">#REF!</definedName>
    <definedName name="blub">#REF!</definedName>
    <definedName name="BUDGET_Title" localSheetId="2">#REF!</definedName>
    <definedName name="BUDGET_Title">#REF!</definedName>
    <definedName name="ColumnTitle1" localSheetId="2">#REF!</definedName>
    <definedName name="ColumnTitle1">#REF!</definedName>
    <definedName name="COMPANY_NAME" localSheetId="2">#REF!</definedName>
    <definedName name="COMPANY_NAME">#REF!</definedName>
    <definedName name="CONNECTURE_BEZ_KP_U_2018.">#REF!</definedName>
    <definedName name="CONNECTURE_SA_KP_U_2018.">#REF!</definedName>
    <definedName name="def" localSheetId="2">#REF!</definedName>
    <definedName name="def">#REF!</definedName>
    <definedName name="defin" localSheetId="2">#REF!</definedName>
    <definedName name="defin">#REF!</definedName>
    <definedName name="Dobavljac_lista">OFFSET(#REF!,,,COUNTIF(#REF!,"?*"))</definedName>
    <definedName name="eee" localSheetId="2">#REF!</definedName>
    <definedName name="eee">#REF!</definedName>
    <definedName name="Egils" localSheetId="2">#REF!</definedName>
    <definedName name="Egils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">#REF!</definedName>
    <definedName name="Excel_BuiltIn_Print_Area_5_1">#REF!</definedName>
    <definedName name="Excel_BuiltIn_Print_Area_6">#REF!</definedName>
    <definedName name="Excel_BuiltIn_Print_Area_6_1">#REF!</definedName>
    <definedName name="Excel_BuiltIn_Print_Area_7_1">#REF!</definedName>
    <definedName name="Garð" localSheetId="2">#REF!</definedName>
    <definedName name="Garð">#REF!</definedName>
    <definedName name="Godina" localSheetId="2">#REF!</definedName>
    <definedName name="Godina">#REF!</definedName>
    <definedName name="Hafn" localSheetId="2">#REF!</definedName>
    <definedName name="Hafn">#REF!</definedName>
    <definedName name="Hamra" localSheetId="2">#REF!</definedName>
    <definedName name="Hamra">#REF!</definedName>
    <definedName name="HP_CFG_Fontsize_px">#REF!</definedName>
    <definedName name="HP_RNG_Address_ChartRange">#REF!</definedName>
    <definedName name="Iðu" localSheetId="2">#REF!</definedName>
    <definedName name="Iðu">#REF!</definedName>
    <definedName name="IME">#REF!</definedName>
    <definedName name="JFLKAJDLFJLJDSK">#REF!</definedName>
    <definedName name="kamate2023">#REF!</definedName>
    <definedName name="konto" localSheetId="2">#REF!</definedName>
    <definedName name="konto">#REF!</definedName>
    <definedName name="Kringla" localSheetId="2">#REF!</definedName>
    <definedName name="Kringla">#REF!</definedName>
    <definedName name="Lág" localSheetId="2">#REF!</definedName>
    <definedName name="Lág">#REF!</definedName>
    <definedName name="lang" localSheetId="2">#REF!</definedName>
    <definedName name="lang">#REF!</definedName>
    <definedName name="Laug" localSheetId="2">#REF!</definedName>
    <definedName name="Laug">#REF!</definedName>
    <definedName name="mapa" localSheetId="2">#REF!</definedName>
    <definedName name="mapa">#REF!</definedName>
    <definedName name="maping" localSheetId="2">#REF!</definedName>
    <definedName name="maping">#REF!</definedName>
    <definedName name="Marija">#REF!</definedName>
    <definedName name="Mesto_troska">#REF!</definedName>
    <definedName name="mici" localSheetId="2">#REF!</definedName>
    <definedName name="mici">#REF!</definedName>
    <definedName name="micizlbs" localSheetId="2">#REF!</definedName>
    <definedName name="micizlbs">#REF!</definedName>
    <definedName name="milena" localSheetId="2">#REF!</definedName>
    <definedName name="milena">#REF!</definedName>
    <definedName name="mirazlbs" localSheetId="2">#REF!</definedName>
    <definedName name="mirazlbs">#REF!</definedName>
    <definedName name="Mos" localSheetId="2">#REF!</definedName>
    <definedName name="Mos">#REF!</definedName>
    <definedName name="Nes" localSheetId="2">#REF!</definedName>
    <definedName name="Nes">#REF!</definedName>
    <definedName name="NOVE_CONNECTURE_U_2018.">#REF!</definedName>
    <definedName name="novo">#REF!</definedName>
    <definedName name="Optimise2" localSheetId="2">#REF!</definedName>
    <definedName name="Optimise2">#REF!</definedName>
    <definedName name="Osnovica" localSheetId="2">#REF!</definedName>
    <definedName name="Osnovica">#REF!</definedName>
    <definedName name="Poreski">#REF!</definedName>
    <definedName name="Promet_AU">#REF!</definedName>
    <definedName name="Report_Version_3">"A1"</definedName>
    <definedName name="Report_Version_4">"A1"</definedName>
    <definedName name="Saldo" localSheetId="2">#REF!</definedName>
    <definedName name="Saldo">#REF!</definedName>
    <definedName name="Set" localSheetId="2">#REF!</definedName>
    <definedName name="Set">#REF!</definedName>
    <definedName name="Skeif" localSheetId="2">#REF!</definedName>
    <definedName name="Skeif">#REF!</definedName>
    <definedName name="Slicer_Act_Bdg">#N/A</definedName>
    <definedName name="Slicer_Act_Bdg1">#N/A</definedName>
    <definedName name="Slicer_Act_Bdg11">#N/A</definedName>
    <definedName name="Slicer_Godina">#N/A</definedName>
    <definedName name="Smári" localSheetId="2">#REF!</definedName>
    <definedName name="Smári">#REF!</definedName>
    <definedName name="Smið" localSheetId="2">#REF!</definedName>
    <definedName name="Smið">#REF!</definedName>
    <definedName name="Spöng" localSheetId="2">#REF!</definedName>
    <definedName name="Spöng">#REF!</definedName>
    <definedName name="staro">#REF!</definedName>
    <definedName name="Sum_of_VIII_2011">#REF!</definedName>
    <definedName name="Test">#REF!</definedName>
    <definedName name="Title1" localSheetId="2">#REF!</definedName>
    <definedName name="Title1">#REF!</definedName>
    <definedName name="Title2" localSheetId="2">#REF!</definedName>
    <definedName name="Title2">#REF!</definedName>
    <definedName name="Title3" localSheetId="2">#REF!</definedName>
    <definedName name="Title3">#REF!</definedName>
    <definedName name="Title4" localSheetId="2">#REF!</definedName>
    <definedName name="Title4">#REF!</definedName>
    <definedName name="vlk" localSheetId="2">#REF!</definedName>
    <definedName name="vlk">#REF!</definedName>
    <definedName name="vvv" localSheetId="2">#REF!</definedName>
    <definedName name="vvv">#REF!</definedName>
    <definedName name="zaklist" localSheetId="2">#REF!</definedName>
    <definedName name="zaklist">#REF!</definedName>
    <definedName name="zlist" localSheetId="2">#REF!</definedName>
    <definedName name="zli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32" l="1"/>
  <c r="F12" i="32"/>
  <c r="E12" i="32"/>
  <c r="D12" i="32"/>
  <c r="C12" i="32"/>
  <c r="I16" i="32" l="1"/>
  <c r="H16" i="32"/>
  <c r="G16" i="32"/>
  <c r="F16" i="32"/>
  <c r="E16" i="32"/>
  <c r="L20" i="31"/>
  <c r="M18" i="31"/>
  <c r="K18" i="31"/>
  <c r="K17" i="31"/>
  <c r="K19" i="31"/>
  <c r="G23" i="31"/>
  <c r="I16" i="31"/>
  <c r="G12" i="31" l="1"/>
  <c r="G11" i="31" l="1"/>
  <c r="I8" i="31"/>
  <c r="H3" i="31"/>
  <c r="F3" i="31"/>
  <c r="D7" i="32" l="1"/>
  <c r="D5" i="32"/>
  <c r="D28" i="31" l="1"/>
  <c r="D26" i="31"/>
  <c r="D23" i="31"/>
  <c r="D21" i="31"/>
  <c r="N20" i="31"/>
  <c r="J20" i="31"/>
  <c r="H20" i="31"/>
  <c r="F20" i="31"/>
  <c r="D20" i="31"/>
  <c r="D15" i="31"/>
  <c r="D13" i="31"/>
  <c r="D11" i="31"/>
  <c r="N9" i="31"/>
  <c r="L9" i="31"/>
  <c r="J9" i="31"/>
  <c r="H9" i="31"/>
  <c r="F9" i="31"/>
  <c r="D9" i="31"/>
  <c r="E7" i="31" s="1"/>
  <c r="B28" i="31"/>
  <c r="B26" i="31"/>
  <c r="B23" i="31"/>
  <c r="B21" i="31"/>
  <c r="B20" i="31"/>
  <c r="B15" i="31"/>
  <c r="B13" i="31"/>
  <c r="B11" i="31"/>
  <c r="B9" i="31"/>
  <c r="N11" i="31" l="1"/>
  <c r="N13" i="31" s="1"/>
  <c r="N15" i="31" s="1"/>
  <c r="N21" i="31" s="1"/>
  <c r="L11" i="31"/>
  <c r="L13" i="31" s="1"/>
  <c r="L15" i="31" s="1"/>
  <c r="L21" i="31" s="1"/>
  <c r="J11" i="31"/>
  <c r="J13" i="31" s="1"/>
  <c r="J15" i="31" s="1"/>
  <c r="J21" i="31" s="1"/>
  <c r="J23" i="31" s="1"/>
  <c r="J26" i="31" s="1"/>
  <c r="J27" i="31" s="1"/>
  <c r="J28" i="31" s="1"/>
  <c r="G10" i="31"/>
  <c r="G8" i="31"/>
  <c r="F11" i="31"/>
  <c r="F13" i="31" s="1"/>
  <c r="F15" i="31" s="1"/>
  <c r="F21" i="31" s="1"/>
  <c r="G7" i="31"/>
  <c r="H11" i="31"/>
  <c r="H13" i="31" s="1"/>
  <c r="H15" i="31" s="1"/>
  <c r="H21" i="31" s="1"/>
  <c r="H23" i="31" s="1"/>
  <c r="H26" i="31" s="1"/>
  <c r="I7" i="31"/>
  <c r="E10" i="31"/>
  <c r="N23" i="31" l="1"/>
  <c r="N26" i="31" s="1"/>
  <c r="N27" i="31" s="1"/>
  <c r="N28" i="31" s="1"/>
  <c r="O28" i="31" s="1"/>
  <c r="I12" i="32"/>
  <c r="L23" i="31"/>
  <c r="L26" i="31" s="1"/>
  <c r="L27" i="31" s="1"/>
  <c r="L28" i="31" s="1"/>
  <c r="H12" i="32"/>
  <c r="F23" i="31"/>
  <c r="F26" i="31" s="1"/>
  <c r="G21" i="31"/>
  <c r="H27" i="31"/>
  <c r="H28" i="31" s="1"/>
  <c r="F27" i="31"/>
  <c r="F28" i="31" s="1"/>
  <c r="O11" i="31" l="1"/>
  <c r="O25" i="31" l="1"/>
  <c r="O16" i="31"/>
  <c r="O8" i="31"/>
  <c r="O17" i="31"/>
  <c r="O9" i="31"/>
  <c r="O18" i="31"/>
  <c r="O10" i="31"/>
  <c r="O19" i="31"/>
  <c r="O22" i="31"/>
  <c r="O12" i="31"/>
  <c r="H4" i="32"/>
  <c r="E4" i="32"/>
  <c r="C4" i="32"/>
  <c r="I14" i="32"/>
  <c r="H14" i="32"/>
  <c r="G14" i="32"/>
  <c r="F14" i="32"/>
  <c r="E14" i="32"/>
  <c r="D14" i="32"/>
  <c r="C14" i="32"/>
  <c r="I2" i="32"/>
  <c r="H2" i="32"/>
  <c r="G2" i="32"/>
  <c r="F2" i="32"/>
  <c r="E2" i="32"/>
  <c r="D2" i="32"/>
  <c r="C2" i="32"/>
  <c r="I4" i="32" l="1"/>
  <c r="O13" i="31"/>
  <c r="G4" i="32"/>
  <c r="F4" i="32"/>
  <c r="O24" i="31" l="1"/>
  <c r="D3" i="32" l="1"/>
  <c r="O27" i="31" l="1"/>
  <c r="C6" i="32" l="1"/>
  <c r="H10" i="32"/>
  <c r="G10" i="32"/>
  <c r="F10" i="32"/>
  <c r="I10" i="32" l="1"/>
  <c r="O20" i="31"/>
  <c r="H6" i="32"/>
  <c r="G6" i="32"/>
  <c r="F6" i="32"/>
  <c r="E6" i="32"/>
  <c r="G7" i="32" l="1"/>
  <c r="F7" i="32"/>
  <c r="O14" i="31"/>
  <c r="I6" i="32"/>
  <c r="D6" i="32"/>
  <c r="D8" i="32" l="1"/>
  <c r="I7" i="32"/>
  <c r="H7" i="32"/>
  <c r="E7" i="32"/>
  <c r="I5" i="32"/>
  <c r="H5" i="32"/>
  <c r="G5" i="32"/>
  <c r="F5" i="32"/>
  <c r="I3" i="32"/>
  <c r="H3" i="32"/>
  <c r="G3" i="32"/>
  <c r="F3" i="32"/>
  <c r="E3" i="32"/>
  <c r="I9" i="32" l="1"/>
  <c r="I11" i="32" s="1"/>
  <c r="O15" i="31"/>
  <c r="J3" i="31"/>
  <c r="L3" i="31"/>
  <c r="D3" i="31"/>
  <c r="C10" i="32"/>
  <c r="I19" i="32" l="1"/>
  <c r="G9" i="32"/>
  <c r="G11" i="32" s="1"/>
  <c r="H9" i="32"/>
  <c r="H11" i="32" s="1"/>
  <c r="G19" i="32" l="1"/>
  <c r="H19" i="32"/>
  <c r="O21" i="31"/>
  <c r="F9" i="32"/>
  <c r="F11" i="32" s="1"/>
  <c r="E9" i="32"/>
  <c r="C9" i="32"/>
  <c r="C11" i="32" s="1"/>
  <c r="C19" i="32" l="1"/>
  <c r="F19" i="32"/>
  <c r="H15" i="32"/>
  <c r="G15" i="32" l="1"/>
  <c r="O23" i="31" l="1"/>
  <c r="I15" i="32"/>
  <c r="O26" i="31"/>
  <c r="F15" i="32"/>
  <c r="C15" i="32" l="1"/>
  <c r="D10" i="32" l="1"/>
  <c r="E10" i="32"/>
  <c r="E11" i="32" s="1"/>
  <c r="E19" i="32" s="1"/>
  <c r="M9" i="31" l="1"/>
  <c r="M8" i="31"/>
  <c r="M19" i="31"/>
  <c r="M25" i="31"/>
  <c r="M16" i="31"/>
  <c r="M17" i="31"/>
  <c r="M7" i="31"/>
  <c r="M22" i="31"/>
  <c r="M12" i="31"/>
  <c r="M10" i="31"/>
  <c r="M14" i="31"/>
  <c r="M24" i="31"/>
  <c r="K9" i="31"/>
  <c r="K25" i="31"/>
  <c r="K8" i="31"/>
  <c r="K16" i="31"/>
  <c r="K22" i="31"/>
  <c r="K7" i="31"/>
  <c r="K12" i="31"/>
  <c r="K10" i="31"/>
  <c r="K14" i="31"/>
  <c r="K24" i="31"/>
  <c r="I9" i="31"/>
  <c r="I18" i="31"/>
  <c r="I10" i="31"/>
  <c r="I17" i="31"/>
  <c r="I22" i="31"/>
  <c r="I19" i="31"/>
  <c r="I12" i="31"/>
  <c r="I25" i="31"/>
  <c r="I14" i="31"/>
  <c r="I20" i="31"/>
  <c r="G9" i="31"/>
  <c r="G25" i="31"/>
  <c r="G16" i="31"/>
  <c r="G17" i="31"/>
  <c r="G22" i="31"/>
  <c r="G18" i="31"/>
  <c r="G19" i="31"/>
  <c r="G20" i="31"/>
  <c r="G14" i="31"/>
  <c r="E8" i="31"/>
  <c r="E25" i="31"/>
  <c r="E16" i="31"/>
  <c r="E22" i="31"/>
  <c r="E18" i="31"/>
  <c r="E19" i="31"/>
  <c r="E12" i="31"/>
  <c r="E9" i="31"/>
  <c r="E14" i="31"/>
  <c r="E17" i="31"/>
  <c r="E24" i="31"/>
  <c r="E20" i="31"/>
  <c r="C9" i="31"/>
  <c r="C18" i="31"/>
  <c r="C17" i="31"/>
  <c r="C8" i="31"/>
  <c r="C19" i="31"/>
  <c r="C10" i="31"/>
  <c r="C7" i="31"/>
  <c r="C22" i="31"/>
  <c r="C24" i="31"/>
  <c r="C14" i="31"/>
  <c r="C16" i="31"/>
  <c r="C25" i="31"/>
  <c r="C12" i="31"/>
  <c r="C20" i="31"/>
  <c r="D4" i="32" l="1"/>
  <c r="E13" i="31"/>
  <c r="E11" i="31"/>
  <c r="C11" i="31"/>
  <c r="K11" i="31"/>
  <c r="M11" i="31"/>
  <c r="I11" i="31"/>
  <c r="D9" i="32"/>
  <c r="D11" i="32" s="1"/>
  <c r="E5" i="32" l="1"/>
  <c r="D19" i="32"/>
  <c r="C13" i="31"/>
  <c r="K13" i="31"/>
  <c r="I13" i="31"/>
  <c r="G13" i="31"/>
  <c r="M13" i="31"/>
  <c r="K20" i="31"/>
  <c r="E15" i="31" l="1"/>
  <c r="C21" i="31"/>
  <c r="C15" i="31"/>
  <c r="I15" i="31"/>
  <c r="K15" i="31"/>
  <c r="G15" i="31"/>
  <c r="M15" i="31"/>
  <c r="M20" i="31"/>
  <c r="E21" i="31" l="1"/>
  <c r="I21" i="31"/>
  <c r="M21" i="31"/>
  <c r="K21" i="31"/>
  <c r="E15" i="32"/>
  <c r="D15" i="32" l="1"/>
  <c r="E23" i="31"/>
  <c r="C23" i="31"/>
  <c r="I23" i="31"/>
  <c r="K23" i="31"/>
  <c r="M23" i="31"/>
  <c r="C26" i="31" l="1"/>
  <c r="E26" i="31"/>
  <c r="M26" i="31"/>
  <c r="K26" i="31"/>
  <c r="M27" i="31" l="1"/>
  <c r="K27" i="31"/>
  <c r="I27" i="31"/>
  <c r="G27" i="31"/>
  <c r="E27" i="31"/>
  <c r="C27" i="31"/>
  <c r="M28" i="31" l="1"/>
  <c r="K28" i="31"/>
  <c r="E28" i="31"/>
  <c r="C28" i="31"/>
  <c r="N3" i="31" l="1"/>
  <c r="O7" i="31" l="1"/>
  <c r="G26" i="31" l="1"/>
  <c r="G24" i="31" l="1"/>
  <c r="G28" i="31" l="1"/>
  <c r="I24" i="31" l="1"/>
  <c r="I26" i="31" l="1"/>
  <c r="I28" i="31" l="1"/>
</calcChain>
</file>

<file path=xl/sharedStrings.xml><?xml version="1.0" encoding="utf-8"?>
<sst xmlns="http://schemas.openxmlformats.org/spreadsheetml/2006/main" count="71" uniqueCount="55">
  <si>
    <t>EBITDA</t>
  </si>
  <si>
    <t>Depreciation</t>
  </si>
  <si>
    <t>EBIT</t>
  </si>
  <si>
    <t>PBT</t>
  </si>
  <si>
    <t>Other operating income</t>
  </si>
  <si>
    <t>Financial result</t>
  </si>
  <si>
    <t>BP 2027</t>
  </si>
  <si>
    <t>BP 2028</t>
  </si>
  <si>
    <t>BP 2029</t>
  </si>
  <si>
    <t>BP 2030</t>
  </si>
  <si>
    <t>t EUR</t>
  </si>
  <si>
    <t>Bilans uspeha</t>
  </si>
  <si>
    <t>AC 2024</t>
  </si>
  <si>
    <t>in tEUR</t>
  </si>
  <si>
    <t>%NTO</t>
  </si>
  <si>
    <t>Turnover deductions</t>
  </si>
  <si>
    <t>Net turnover</t>
  </si>
  <si>
    <t>COGS</t>
  </si>
  <si>
    <t>Net margin</t>
  </si>
  <si>
    <t>Cost of sales differences</t>
  </si>
  <si>
    <t>Gross margin</t>
  </si>
  <si>
    <t>Total income</t>
  </si>
  <si>
    <t>Personnel expenses</t>
  </si>
  <si>
    <t>Marketing and advertising</t>
  </si>
  <si>
    <t>Rental expenses</t>
  </si>
  <si>
    <t>Other operating expenses</t>
  </si>
  <si>
    <t>Total operating expenses</t>
  </si>
  <si>
    <t>Operative EBITDA</t>
  </si>
  <si>
    <t>Amortisation/Depreciation</t>
  </si>
  <si>
    <t>Non-operative result</t>
  </si>
  <si>
    <t>Income tax</t>
  </si>
  <si>
    <t>Profit after tax</t>
  </si>
  <si>
    <t xml:space="preserve">Valuta </t>
  </si>
  <si>
    <t>BU 2026</t>
  </si>
  <si>
    <t>Total turnover</t>
  </si>
  <si>
    <t>Izvestaji ne obuhvataju primenu IFRS 16 - troskovi zakupa prikazani kroz operativne troskove</t>
  </si>
  <si>
    <t>TREND</t>
  </si>
  <si>
    <t>% Growth in Turnover</t>
  </si>
  <si>
    <t>% Growth in margin</t>
  </si>
  <si>
    <t>Othe operating income</t>
  </si>
  <si>
    <t>% Growth in OOI</t>
  </si>
  <si>
    <t>Net Debt</t>
  </si>
  <si>
    <t>Total Revenue</t>
  </si>
  <si>
    <t>Total expenses</t>
  </si>
  <si>
    <t>CAPEX</t>
  </si>
  <si>
    <t>Turnover Growth</t>
  </si>
  <si>
    <t>NWC</t>
  </si>
  <si>
    <t>EQVITY</t>
  </si>
  <si>
    <t>NET DEBT</t>
  </si>
  <si>
    <t>Particulars (mil EUR)</t>
  </si>
  <si>
    <t>NET DEBT/EBITDA</t>
  </si>
  <si>
    <t>Fx 117,282</t>
  </si>
  <si>
    <t>AC 2025</t>
  </si>
  <si>
    <t>% EBITDA (Nto)</t>
  </si>
  <si>
    <t>LTP Kompanije - članice Ergo WBS Grupe Consolidovano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</si>
</sst>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* #,##0_);_(* \(#,##0\);_(* &quot;-&quot;_);_(@_)"/>
    <numFmt numFmtId="165" formatCode="_(* #,##0.00_);_(* \(#,##0.00\);_(* &quot;-&quot;??_);_(@_)"/>
    <numFmt numFmtId="166" formatCode="0.0%"/>
    <numFmt numFmtId="167" formatCode="0.0000"/>
    <numFmt numFmtId="168" formatCode="0.0"/>
    <numFmt numFmtId="169" formatCode="#,##0.0_ ;\-#,##0.0\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MS Sans Serif"/>
      <family val="2"/>
    </font>
    <font>
      <sz val="10"/>
      <name val="Times New Roman"/>
      <family val="1"/>
    </font>
    <font>
      <sz val="14"/>
      <color theme="3" tint="-0.499984740745262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0000FF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38"/>
      <scheme val="minor"/>
    </font>
    <font>
      <b/>
      <sz val="16"/>
      <name val="Calibri"/>
      <family val="2"/>
      <scheme val="minor"/>
    </font>
    <font>
      <b/>
      <sz val="12"/>
      <color rgb="FF002060"/>
      <name val="Daytona"/>
      <family val="2"/>
    </font>
    <font>
      <sz val="12"/>
      <color rgb="FF002060"/>
      <name val="Daytona"/>
      <family val="2"/>
    </font>
    <font>
      <sz val="12"/>
      <color theme="0" tint="-0.34998626667073579"/>
      <name val="Daytona"/>
      <family val="2"/>
    </font>
    <font>
      <i/>
      <sz val="10"/>
      <color rgb="FF002060"/>
      <name val="Daytona"/>
      <family val="2"/>
    </font>
    <font>
      <i/>
      <sz val="12"/>
      <color rgb="FF002060"/>
      <name val="Daytona"/>
      <family val="2"/>
    </font>
    <font>
      <b/>
      <i/>
      <sz val="12"/>
      <color rgb="FF002060"/>
      <name val="Daytona"/>
      <family val="2"/>
    </font>
    <font>
      <sz val="12"/>
      <color theme="1"/>
      <name val="Daytona"/>
      <family val="2"/>
    </font>
    <font>
      <sz val="12"/>
      <color rgb="FFFF0000"/>
      <name val="Daytona"/>
      <family val="2"/>
    </font>
    <font>
      <u/>
      <sz val="12"/>
      <color theme="2" tint="-0.499984740745262"/>
      <name val="Arial Narrow"/>
      <family val="2"/>
    </font>
    <font>
      <sz val="12"/>
      <color theme="2" tint="-0.499984740745262"/>
      <name val="Arial Narrow"/>
      <family val="2"/>
    </font>
    <font>
      <sz val="12"/>
      <color theme="1"/>
      <name val="Arial Narrow"/>
      <family val="2"/>
    </font>
    <font>
      <i/>
      <u/>
      <sz val="12"/>
      <color theme="2" tint="-0.499984740745262"/>
      <name val="Arial Narrow"/>
      <family val="2"/>
    </font>
    <font>
      <b/>
      <u/>
      <sz val="12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2306D2"/>
        <bgColor indexed="64"/>
      </patternFill>
    </fill>
    <fill>
      <patternFill patternType="solid">
        <fgColor rgb="FFFA3C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medium">
        <color indexed="22"/>
      </top>
      <bottom/>
      <diagonal/>
    </border>
    <border>
      <left/>
      <right/>
      <top/>
      <bottom style="medium">
        <color theme="0" tint="-0.249977111117893"/>
      </bottom>
      <diagonal/>
    </border>
    <border>
      <left/>
      <right/>
      <top/>
      <bottom style="thick">
        <color theme="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 style="medium">
        <color rgb="FF2306D2"/>
      </left>
      <right/>
      <top style="medium">
        <color rgb="FF2306D2"/>
      </top>
      <bottom style="medium">
        <color rgb="FF2306D2"/>
      </bottom>
      <diagonal/>
    </border>
    <border>
      <left/>
      <right/>
      <top style="medium">
        <color rgb="FF2306D2"/>
      </top>
      <bottom style="medium">
        <color rgb="FF2306D2"/>
      </bottom>
      <diagonal/>
    </border>
    <border>
      <left/>
      <right style="medium">
        <color rgb="FF2306D2"/>
      </right>
      <top style="medium">
        <color rgb="FF2306D2"/>
      </top>
      <bottom style="medium">
        <color rgb="FF2306D2"/>
      </bottom>
      <diagonal/>
    </border>
  </borders>
  <cellStyleXfs count="14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5" fillId="0" borderId="0"/>
    <xf numFmtId="0" fontId="2" fillId="0" borderId="0"/>
    <xf numFmtId="0" fontId="3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/>
    <xf numFmtId="0" fontId="7" fillId="0" borderId="0"/>
    <xf numFmtId="0" fontId="15" fillId="0" borderId="0"/>
    <xf numFmtId="0" fontId="16" fillId="0" borderId="7" applyNumberFormat="0" applyFill="0" applyAlignment="0" applyProtection="0"/>
    <xf numFmtId="0" fontId="1" fillId="9" borderId="0" applyNumberFormat="0" applyBorder="0" applyAlignment="0" applyProtection="0"/>
    <xf numFmtId="0" fontId="4" fillId="0" borderId="0"/>
  </cellStyleXfs>
  <cellXfs count="81">
    <xf numFmtId="0" fontId="0" fillId="0" borderId="0" xfId="0"/>
    <xf numFmtId="167" fontId="8" fillId="2" borderId="0" xfId="2" applyNumberFormat="1" applyFont="1" applyFill="1"/>
    <xf numFmtId="167" fontId="9" fillId="2" borderId="0" xfId="2" applyNumberFormat="1" applyFont="1" applyFill="1"/>
    <xf numFmtId="167" fontId="9" fillId="2" borderId="3" xfId="2" applyNumberFormat="1" applyFont="1" applyFill="1" applyBorder="1"/>
    <xf numFmtId="167" fontId="10" fillId="2" borderId="3" xfId="2" applyNumberFormat="1" applyFont="1" applyFill="1" applyBorder="1"/>
    <xf numFmtId="0" fontId="10" fillId="2" borderId="1" xfId="2" applyFont="1" applyFill="1" applyBorder="1"/>
    <xf numFmtId="0" fontId="8" fillId="2" borderId="0" xfId="2" applyFont="1" applyFill="1"/>
    <xf numFmtId="167" fontId="10" fillId="2" borderId="0" xfId="2" applyNumberFormat="1" applyFont="1" applyFill="1"/>
    <xf numFmtId="0" fontId="11" fillId="2" borderId="0" xfId="2" applyFont="1" applyFill="1"/>
    <xf numFmtId="164" fontId="8" fillId="2" borderId="0" xfId="6" applyNumberFormat="1" applyFont="1" applyFill="1"/>
    <xf numFmtId="0" fontId="11" fillId="4" borderId="0" xfId="8" applyFont="1" applyFill="1" applyAlignment="1">
      <alignment horizontal="center"/>
    </xf>
    <xf numFmtId="0" fontId="10" fillId="2" borderId="4" xfId="2" applyFont="1" applyFill="1" applyBorder="1"/>
    <xf numFmtId="0" fontId="10" fillId="5" borderId="2" xfId="2" applyFont="1" applyFill="1" applyBorder="1"/>
    <xf numFmtId="0" fontId="9" fillId="2" borderId="0" xfId="2" applyFont="1" applyFill="1" applyAlignment="1">
      <alignment horizontal="left"/>
    </xf>
    <xf numFmtId="9" fontId="10" fillId="2" borderId="0" xfId="2" applyNumberFormat="1" applyFont="1" applyFill="1" applyAlignment="1">
      <alignment horizontal="right"/>
    </xf>
    <xf numFmtId="0" fontId="9" fillId="2" borderId="0" xfId="2" applyFont="1" applyFill="1" applyAlignment="1">
      <alignment horizontal="right"/>
    </xf>
    <xf numFmtId="0" fontId="11" fillId="0" borderId="0" xfId="2" applyFont="1"/>
    <xf numFmtId="164" fontId="11" fillId="2" borderId="0" xfId="2" applyNumberFormat="1" applyFont="1" applyFill="1"/>
    <xf numFmtId="164" fontId="11" fillId="4" borderId="0" xfId="2" applyNumberFormat="1" applyFont="1" applyFill="1"/>
    <xf numFmtId="0" fontId="14" fillId="0" borderId="0" xfId="9" applyFont="1"/>
    <xf numFmtId="0" fontId="10" fillId="0" borderId="0" xfId="2" applyFont="1"/>
    <xf numFmtId="164" fontId="10" fillId="2" borderId="0" xfId="2" applyNumberFormat="1" applyFont="1" applyFill="1"/>
    <xf numFmtId="164" fontId="11" fillId="2" borderId="5" xfId="2" applyNumberFormat="1" applyFont="1" applyFill="1" applyBorder="1"/>
    <xf numFmtId="0" fontId="8" fillId="0" borderId="0" xfId="9" applyFont="1"/>
    <xf numFmtId="164" fontId="11" fillId="0" borderId="0" xfId="9" applyNumberFormat="1" applyFont="1"/>
    <xf numFmtId="0" fontId="10" fillId="0" borderId="0" xfId="9" applyFont="1"/>
    <xf numFmtId="0" fontId="11" fillId="0" borderId="5" xfId="9" applyFont="1" applyBorder="1"/>
    <xf numFmtId="164" fontId="10" fillId="4" borderId="0" xfId="2" applyNumberFormat="1" applyFont="1" applyFill="1"/>
    <xf numFmtId="0" fontId="11" fillId="0" borderId="0" xfId="9" applyFont="1"/>
    <xf numFmtId="0" fontId="10" fillId="0" borderId="6" xfId="9" applyFont="1" applyBorder="1"/>
    <xf numFmtId="0" fontId="10" fillId="2" borderId="0" xfId="2" applyFont="1" applyFill="1"/>
    <xf numFmtId="0" fontId="9" fillId="2" borderId="0" xfId="2" applyFont="1" applyFill="1"/>
    <xf numFmtId="164" fontId="8" fillId="2" borderId="0" xfId="2" applyNumberFormat="1" applyFont="1" applyFill="1"/>
    <xf numFmtId="0" fontId="10" fillId="6" borderId="2" xfId="2" applyFont="1" applyFill="1" applyBorder="1"/>
    <xf numFmtId="0" fontId="12" fillId="7" borderId="2" xfId="2" applyFont="1" applyFill="1" applyBorder="1"/>
    <xf numFmtId="168" fontId="13" fillId="0" borderId="0" xfId="9" applyNumberFormat="1" applyFont="1"/>
    <xf numFmtId="168" fontId="9" fillId="2" borderId="0" xfId="2" applyNumberFormat="1" applyFont="1" applyFill="1"/>
    <xf numFmtId="168" fontId="9" fillId="2" borderId="0" xfId="2" applyNumberFormat="1" applyFont="1" applyFill="1" applyAlignment="1">
      <alignment horizontal="right"/>
    </xf>
    <xf numFmtId="168" fontId="13" fillId="2" borderId="0" xfId="2" applyNumberFormat="1" applyFont="1" applyFill="1"/>
    <xf numFmtId="168" fontId="9" fillId="0" borderId="0" xfId="2" applyNumberFormat="1" applyFont="1"/>
    <xf numFmtId="168" fontId="8" fillId="2" borderId="0" xfId="2" applyNumberFormat="1" applyFont="1" applyFill="1"/>
    <xf numFmtId="164" fontId="10" fillId="0" borderId="0" xfId="2" applyNumberFormat="1" applyFont="1"/>
    <xf numFmtId="0" fontId="17" fillId="2" borderId="0" xfId="2" applyFont="1" applyFill="1"/>
    <xf numFmtId="0" fontId="19" fillId="3" borderId="0" xfId="0" applyFont="1" applyFill="1" applyAlignment="1">
      <alignment horizontal="left" vertical="center" indent="1"/>
    </xf>
    <xf numFmtId="169" fontId="19" fillId="8" borderId="0" xfId="12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21" fillId="3" borderId="0" xfId="0" applyFont="1" applyFill="1" applyAlignment="1">
      <alignment horizontal="left" vertical="center" indent="1"/>
    </xf>
    <xf numFmtId="166" fontId="22" fillId="8" borderId="0" xfId="12" applyNumberFormat="1" applyFont="1" applyFill="1" applyBorder="1" applyAlignment="1">
      <alignment vertical="center"/>
    </xf>
    <xf numFmtId="0" fontId="22" fillId="3" borderId="0" xfId="0" applyFont="1" applyFill="1" applyAlignment="1">
      <alignment horizontal="left" vertical="center" indent="1"/>
    </xf>
    <xf numFmtId="0" fontId="18" fillId="3" borderId="8" xfId="0" applyFont="1" applyFill="1" applyBorder="1" applyAlignment="1">
      <alignment horizontal="left" vertical="center" indent="1"/>
    </xf>
    <xf numFmtId="169" fontId="19" fillId="8" borderId="9" xfId="12" applyNumberFormat="1" applyFont="1" applyFill="1" applyBorder="1" applyAlignment="1">
      <alignment vertical="center"/>
    </xf>
    <xf numFmtId="0" fontId="23" fillId="3" borderId="8" xfId="0" applyFont="1" applyFill="1" applyBorder="1" applyAlignment="1">
      <alignment horizontal="left" vertical="center" indent="1"/>
    </xf>
    <xf numFmtId="166" fontId="22" fillId="8" borderId="9" xfId="12" applyNumberFormat="1" applyFont="1" applyFill="1" applyBorder="1" applyAlignment="1">
      <alignment vertical="center"/>
    </xf>
    <xf numFmtId="0" fontId="23" fillId="3" borderId="0" xfId="0" applyFont="1" applyFill="1" applyAlignment="1">
      <alignment horizontal="left" vertical="center" indent="1"/>
    </xf>
    <xf numFmtId="0" fontId="24" fillId="0" borderId="0" xfId="12" applyFont="1" applyFill="1"/>
    <xf numFmtId="0" fontId="25" fillId="0" borderId="0" xfId="0" applyFont="1" applyAlignment="1">
      <alignment vertical="center"/>
    </xf>
    <xf numFmtId="169" fontId="20" fillId="0" borderId="0" xfId="0" applyNumberFormat="1" applyFont="1" applyAlignment="1">
      <alignment vertical="center"/>
    </xf>
    <xf numFmtId="3" fontId="20" fillId="0" borderId="0" xfId="0" applyNumberFormat="1" applyFont="1" applyAlignment="1">
      <alignment vertical="center"/>
    </xf>
    <xf numFmtId="0" fontId="18" fillId="4" borderId="10" xfId="11" applyFont="1" applyFill="1" applyBorder="1" applyAlignment="1">
      <alignment vertical="center"/>
    </xf>
    <xf numFmtId="0" fontId="18" fillId="0" borderId="10" xfId="11" applyFont="1" applyFill="1" applyBorder="1" applyAlignment="1">
      <alignment horizontal="center" vertical="center"/>
    </xf>
    <xf numFmtId="1" fontId="14" fillId="0" borderId="0" xfId="9" applyNumberFormat="1" applyFont="1"/>
    <xf numFmtId="1" fontId="8" fillId="0" borderId="0" xfId="9" applyNumberFormat="1" applyFont="1"/>
    <xf numFmtId="1" fontId="8" fillId="2" borderId="0" xfId="2" applyNumberFormat="1" applyFont="1" applyFill="1"/>
    <xf numFmtId="166" fontId="14" fillId="2" borderId="0" xfId="1" applyNumberFormat="1" applyFont="1" applyFill="1"/>
    <xf numFmtId="166" fontId="8" fillId="2" borderId="0" xfId="2" applyNumberFormat="1" applyFont="1" applyFill="1"/>
    <xf numFmtId="166" fontId="13" fillId="2" borderId="0" xfId="2" applyNumberFormat="1" applyFont="1" applyFill="1"/>
    <xf numFmtId="166" fontId="14" fillId="2" borderId="0" xfId="2" applyNumberFormat="1" applyFont="1" applyFill="1"/>
    <xf numFmtId="0" fontId="26" fillId="0" borderId="0" xfId="0" applyFont="1"/>
    <xf numFmtId="0" fontId="27" fillId="0" borderId="0" xfId="0" applyFont="1" applyAlignment="1">
      <alignment horizontal="left"/>
    </xf>
    <xf numFmtId="0" fontId="28" fillId="0" borderId="0" xfId="0" applyFont="1"/>
    <xf numFmtId="0" fontId="29" fillId="0" borderId="0" xfId="0" applyFont="1" applyAlignment="1">
      <alignment horizontal="right"/>
    </xf>
    <xf numFmtId="0" fontId="29" fillId="0" borderId="0" xfId="0" applyFont="1"/>
    <xf numFmtId="9" fontId="14" fillId="0" borderId="0" xfId="1" applyFont="1"/>
    <xf numFmtId="3" fontId="8" fillId="2" borderId="0" xfId="2" applyNumberFormat="1" applyFont="1" applyFill="1"/>
    <xf numFmtId="3" fontId="14" fillId="0" borderId="0" xfId="9" applyNumberFormat="1" applyFont="1"/>
    <xf numFmtId="0" fontId="12" fillId="6" borderId="2" xfId="2" applyFont="1" applyFill="1" applyBorder="1"/>
    <xf numFmtId="10" fontId="20" fillId="0" borderId="0" xfId="1" applyNumberFormat="1" applyFont="1" applyAlignment="1">
      <alignment vertical="center"/>
    </xf>
    <xf numFmtId="0" fontId="30" fillId="0" borderId="0" xfId="0" applyFont="1"/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</cellXfs>
  <cellStyles count="14">
    <cellStyle name="20% - Accent1" xfId="12" builtinId="30"/>
    <cellStyle name="Comma 2" xfId="7" xr:uid="{3F475A25-0D62-4401-A80F-14414C6DB805}"/>
    <cellStyle name="Heading 1" xfId="11" builtinId="16"/>
    <cellStyle name="Normal" xfId="0" builtinId="0"/>
    <cellStyle name="Normal - Style1" xfId="13" xr:uid="{7D7A63B7-4DB1-43CC-9494-E90DC04C5F4F}"/>
    <cellStyle name="Normal 2" xfId="2" xr:uid="{F841A319-31AF-4593-829F-1E085680B288}"/>
    <cellStyle name="Normal 2 2" xfId="10" xr:uid="{261F6FFD-3A85-4001-A49F-75A2A608E555}"/>
    <cellStyle name="Normal 3" xfId="3" xr:uid="{399E3177-3836-44EB-88C4-DC123F8B78FC}"/>
    <cellStyle name="Normal 3 2 3 2" xfId="4" xr:uid="{5AD0B49D-E7B4-4550-ACD9-A475C4E09BC8}"/>
    <cellStyle name="Normal 4" xfId="5" xr:uid="{DA56AB5C-D0BB-4248-861D-1D2F210DE2BD}"/>
    <cellStyle name="Percent" xfId="1" builtinId="5"/>
    <cellStyle name="Percent 2" xfId="6" xr:uid="{192A51C3-155B-4AA7-896D-1B4887C6EC40}"/>
    <cellStyle name="Standard_#DRKER" xfId="8" xr:uid="{D69CC50E-E243-46CD-89FC-86BD57CCFFFB}"/>
    <cellStyle name="Standard_VRHH" xfId="9" xr:uid="{C417DD20-DE1E-437C-8839-360C0D84CED7}"/>
  </cellStyles>
  <dxfs count="30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34998626667073579"/>
        <name val="Daytona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0" tint="-0.34998626667073579"/>
        <name val="Dayton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ytona"/>
        <family val="2"/>
        <scheme val="none"/>
      </font>
      <numFmt numFmtId="170" formatCode="#,##0_ ;\-#,##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numFmt numFmtId="169" formatCode="#,##0.0_ ;\-#,##0.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ytona"/>
        <family val="2"/>
        <scheme val="none"/>
      </font>
      <numFmt numFmtId="170" formatCode="#,##0_ ;\-#,##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numFmt numFmtId="169" formatCode="#,##0.0_ ;\-#,##0.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ytona"/>
        <family val="2"/>
        <scheme val="none"/>
      </font>
      <numFmt numFmtId="170" formatCode="#,##0_ ;\-#,##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numFmt numFmtId="169" formatCode="#,##0.0_ ;\-#,##0.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ytona"/>
        <family val="2"/>
        <scheme val="none"/>
      </font>
      <numFmt numFmtId="170" formatCode="#,##0_ ;\-#,##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numFmt numFmtId="169" formatCode="#,##0.0_ ;\-#,##0.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ytona"/>
        <family val="2"/>
        <scheme val="none"/>
      </font>
      <numFmt numFmtId="170" formatCode="#,##0_ ;\-#,##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numFmt numFmtId="169" formatCode="#,##0.0_ ;\-#,##0.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Daytona"/>
        <family val="2"/>
        <scheme val="none"/>
      </font>
      <numFmt numFmtId="169" formatCode="#,##0.0_ ;\-#,##0.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numFmt numFmtId="169" formatCode="#,##0.0_ ;\-#,##0.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yto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numFmt numFmtId="169" formatCode="#,##0.0_ ;\-#,##0.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yto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Calibri"/>
        <scheme val="minor"/>
      </font>
      <numFmt numFmtId="171" formatCode="&quot;$&quot;#,##0.00_);\(&quot;$&quot;#,##0.00\)"/>
      <fill>
        <patternFill patternType="none">
          <fgColor indexed="64"/>
          <bgColor indexed="65"/>
        </patternFill>
      </fill>
    </dxf>
    <dxf>
      <border outline="0">
        <top style="thin">
          <color theme="0" tint="-4.9989318521683403E-2"/>
        </top>
      </border>
    </dxf>
    <dxf>
      <font>
        <strike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theme="0" tint="-4.9989318521683403E-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color theme="6"/>
      </font>
      <fill>
        <patternFill patternType="none">
          <bgColor auto="1"/>
        </patternFill>
      </fill>
      <border>
        <top style="medium">
          <color theme="6"/>
        </top>
        <bottom/>
      </border>
    </dxf>
    <dxf>
      <font>
        <b/>
        <i val="0"/>
        <color theme="1" tint="0.499984740745262"/>
      </font>
      <border>
        <top style="medium">
          <color theme="6"/>
        </top>
        <bottom style="medium">
          <color theme="6"/>
        </bottom>
      </border>
    </dxf>
    <dxf>
      <font>
        <b/>
        <i val="0"/>
        <color theme="0"/>
      </font>
      <fill>
        <patternFill>
          <bgColor theme="6"/>
        </patternFill>
      </fill>
      <border>
        <right style="thick">
          <color theme="0"/>
        </right>
        <top style="thick">
          <color theme="0"/>
        </top>
        <bottom style="thick">
          <color theme="0"/>
        </bottom>
      </border>
    </dxf>
    <dxf>
      <font>
        <b/>
        <i val="0"/>
        <color theme="6"/>
      </font>
      <border>
        <left/>
        <right/>
        <top style="medium">
          <color theme="6"/>
        </top>
        <bottom/>
        <vertical style="thick">
          <color theme="0"/>
        </vertical>
        <horizontal/>
      </border>
    </dxf>
    <dxf>
      <font>
        <b val="0"/>
        <i val="0"/>
        <color theme="1" tint="0.499984740745262"/>
      </font>
      <fill>
        <patternFill patternType="none">
          <fgColor indexed="64"/>
          <bgColor auto="1"/>
        </patternFill>
      </fill>
      <border>
        <top style="medium">
          <color theme="6"/>
        </top>
        <bottom style="thin">
          <color theme="6"/>
        </bottom>
        <vertical style="thick">
          <color theme="0"/>
        </vertical>
      </border>
    </dxf>
    <dxf>
      <font>
        <b val="0"/>
        <i val="0"/>
        <color theme="0" tint="-0.34998626667073579"/>
      </font>
      <border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</dxfs>
  <tableStyles count="1" defaultTableStyle="TableStyleMedium2" defaultPivotStyle="PivotStyleLight16">
    <tableStyle name="Family Budget Cash Available 3" pivot="0" count="6" xr9:uid="{563312F0-B67F-4E78-A7AF-99E995355974}">
      <tableStyleElement type="wholeTable" dxfId="29"/>
      <tableStyleElement type="headerRow" dxfId="28"/>
      <tableStyleElement type="totalRow" dxfId="27"/>
      <tableStyleElement type="firstColumn" dxfId="26"/>
      <tableStyleElement type="firstHeaderCell" dxfId="25"/>
      <tableStyleElement type="firstTotalCell" dxfId="24"/>
    </tableStyle>
  </tableStyles>
  <colors>
    <mruColors>
      <color rgb="FF2306D2"/>
      <color rgb="FFFF3399"/>
      <color rgb="FFFFFFCC"/>
      <color rgb="FFFA3CFA"/>
      <color rgb="FFFF6600"/>
      <color rgb="FFEAA3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45027-C4F1-47AC-8E35-F9E2BE468144}" name="Tabela_troškova2" displayName="Tabela_troškova2" ref="B1:J10" totalsRowShown="0" headerRowDxfId="23" dataDxfId="21" totalsRowDxfId="19" headerRowBorderDxfId="22" tableBorderDxfId="20" headerRowCellStyle="Heading 1" dataCellStyle="20% - Accent1">
  <tableColumns count="9">
    <tableColumn id="1" xr3:uid="{F34CF8A6-4428-439F-ACDD-1174218FA321}" name="Particulars (mil EUR)" dataDxfId="18" totalsRowDxfId="17"/>
    <tableColumn id="7" xr3:uid="{EA95B436-113A-4943-A2A8-4EF53E58CD65}" name="AC 2024" dataDxfId="16" totalsRowDxfId="15" dataCellStyle="20% - Accent1"/>
    <tableColumn id="6" xr3:uid="{6FF654B7-4D60-4168-B433-237E7CB9C66C}" name="AC 2025" dataDxfId="14" totalsRowDxfId="13" dataCellStyle="20% - Accent1">
      <calculatedColumnFormula>17445.11253038/117.5802</calculatedColumnFormula>
    </tableColumn>
    <tableColumn id="9" xr3:uid="{DEE10D08-10DF-4AA5-A9F5-36EB42D9265C}" name="BU 2026" dataDxfId="12" totalsRowDxfId="11" dataCellStyle="20% - Accent1"/>
    <tableColumn id="2" xr3:uid="{9378DD5E-ACAF-4F19-ADB9-54BED33098CF}" name="BP 2027" dataDxfId="10" totalsRowDxfId="9" dataCellStyle="20% - Accent1"/>
    <tableColumn id="3" xr3:uid="{E0FE6F2F-DD63-478B-8993-DDFE6B50588F}" name="BP 2028" dataDxfId="8" totalsRowDxfId="7" dataCellStyle="20% - Accent1"/>
    <tableColumn id="4" xr3:uid="{83923AC9-20E7-4ADB-BCF5-5BBC02A859E3}" name="BP 2029" dataDxfId="6" totalsRowDxfId="5" dataCellStyle="20% - Accent1"/>
    <tableColumn id="5" xr3:uid="{83B054BC-D625-41A7-9801-22E344FCF818}" name="BP 2030" dataDxfId="4" totalsRowDxfId="3" dataCellStyle="20% - Accent1"/>
    <tableColumn id="15" xr3:uid="{DF50EC8F-4168-46A1-847C-199491FCA655}" name="TREND" dataDxfId="2" totalsRowDxfId="1"/>
  </tableColumns>
  <tableStyleInfo name="Family Budget Cash Available 3" showFirstColumn="1" showLastColumn="0" showRowStripes="1" showColumnStripes="0"/>
  <extLst>
    <ext xmlns:x14="http://schemas.microsoft.com/office/spreadsheetml/2009/9/main" uri="{504A1905-F514-4f6f-8877-14C23A59335A}">
      <x14:table altText="Mesečni troškovi" altTextSummary="Rezime troškova za svaki kalendarski mesec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765D2-D8EA-4EBA-B399-A34571347FC4}">
  <sheetPr codeName="Sheet1"/>
  <dimension ref="A2:O8"/>
  <sheetViews>
    <sheetView workbookViewId="0">
      <selection activeCell="B7" sqref="B7"/>
    </sheetView>
  </sheetViews>
  <sheetFormatPr defaultRowHeight="15.6" x14ac:dyDescent="0.3"/>
  <cols>
    <col min="1" max="1" width="15" style="69" bestFit="1" customWidth="1"/>
    <col min="2" max="2" width="70.109375" style="69" bestFit="1" customWidth="1"/>
    <col min="6" max="6" width="25.5546875" customWidth="1"/>
  </cols>
  <sheetData>
    <row r="2" spans="1:15" x14ac:dyDescent="0.3">
      <c r="A2" s="70" t="s">
        <v>32</v>
      </c>
      <c r="B2" s="71" t="s">
        <v>10</v>
      </c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5" x14ac:dyDescent="0.3">
      <c r="A3" s="67"/>
      <c r="B3" s="68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15" x14ac:dyDescent="0.3">
      <c r="B4" s="77" t="s">
        <v>54</v>
      </c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15" x14ac:dyDescent="0.3"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15" x14ac:dyDescent="0.3">
      <c r="F6" s="69"/>
      <c r="G6" s="69"/>
      <c r="H6" s="69"/>
      <c r="I6" s="69"/>
      <c r="J6" s="69"/>
      <c r="K6" s="69"/>
      <c r="L6" s="69"/>
      <c r="M6" s="69"/>
      <c r="N6" s="69"/>
      <c r="O6" s="69"/>
    </row>
    <row r="7" spans="1:15" x14ac:dyDescent="0.3">
      <c r="B7" s="69" t="s">
        <v>35</v>
      </c>
      <c r="F7" s="69"/>
    </row>
    <row r="8" spans="1:15" x14ac:dyDescent="0.3">
      <c r="B8" s="69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45902-F029-4570-A44C-061C66FAB3E7}">
  <sheetPr codeName="Sheet2">
    <tabColor rgb="FFFFFFCC"/>
  </sheetPr>
  <dimension ref="A1:L38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8" sqref="B28"/>
    </sheetView>
  </sheetViews>
  <sheetFormatPr defaultColWidth="8.88671875" defaultRowHeight="18" x14ac:dyDescent="0.3"/>
  <cols>
    <col min="1" max="1" width="1.44140625" style="45" customWidth="1"/>
    <col min="2" max="2" width="34.5546875" style="45" customWidth="1"/>
    <col min="3" max="3" width="14.109375" style="45" customWidth="1"/>
    <col min="4" max="4" width="14.88671875" style="45" customWidth="1"/>
    <col min="5" max="5" width="16.44140625" style="45" customWidth="1"/>
    <col min="6" max="7" width="15.33203125" style="45" customWidth="1"/>
    <col min="8" max="8" width="15.109375" style="45" customWidth="1"/>
    <col min="9" max="9" width="14.6640625" style="45" customWidth="1"/>
    <col min="10" max="10" width="14.44140625" style="45" customWidth="1"/>
    <col min="11" max="16384" width="8.88671875" style="45"/>
  </cols>
  <sheetData>
    <row r="1" spans="1:12" x14ac:dyDescent="0.45">
      <c r="A1" s="54"/>
      <c r="B1" s="58" t="s">
        <v>49</v>
      </c>
      <c r="C1" s="59" t="s">
        <v>12</v>
      </c>
      <c r="D1" s="59" t="s">
        <v>52</v>
      </c>
      <c r="E1" s="59" t="s">
        <v>33</v>
      </c>
      <c r="F1" s="59" t="s">
        <v>6</v>
      </c>
      <c r="G1" s="59" t="s">
        <v>7</v>
      </c>
      <c r="H1" s="59" t="s">
        <v>8</v>
      </c>
      <c r="I1" s="59" t="s">
        <v>9</v>
      </c>
      <c r="J1" s="59" t="s">
        <v>36</v>
      </c>
    </row>
    <row r="2" spans="1:12" x14ac:dyDescent="0.45">
      <c r="A2" s="54"/>
      <c r="B2" s="43" t="s">
        <v>34</v>
      </c>
      <c r="C2" s="44">
        <f>'Conso ERGO Group'!B7/1000</f>
        <v>223.96435892130083</v>
      </c>
      <c r="D2" s="44">
        <f>+'Conso ERGO Group'!D7/1000</f>
        <v>248.52748918191782</v>
      </c>
      <c r="E2" s="44">
        <f>+'Conso ERGO Group'!F7/1000</f>
        <v>240.48331385737501</v>
      </c>
      <c r="F2" s="44">
        <f>+'Conso ERGO Group'!H7/1000</f>
        <v>220.94272984238302</v>
      </c>
      <c r="G2" s="44">
        <f>+'Conso ERGO Group'!J7/1000</f>
        <v>210.54043903607899</v>
      </c>
      <c r="H2" s="44">
        <f>+'Conso ERGO Group'!L7/1000</f>
        <v>200.31746098788298</v>
      </c>
      <c r="I2" s="44">
        <f>+'Conso ERGO Group'!N7/1000</f>
        <v>190.28333403727697</v>
      </c>
    </row>
    <row r="3" spans="1:12" x14ac:dyDescent="0.45">
      <c r="A3" s="54"/>
      <c r="B3" s="46" t="s">
        <v>37</v>
      </c>
      <c r="C3" s="47">
        <v>3.2000000000000001E-2</v>
      </c>
      <c r="D3" s="47">
        <f>D2/C2-1</f>
        <v>0.10967428201041685</v>
      </c>
      <c r="E3" s="47">
        <f t="shared" ref="E3:I3" si="0">E2/D2-1</f>
        <v>-3.236734636889449E-2</v>
      </c>
      <c r="F3" s="47">
        <f t="shared" si="0"/>
        <v>-8.1255467173830809E-2</v>
      </c>
      <c r="G3" s="47">
        <f t="shared" si="0"/>
        <v>-4.7081389886532321E-2</v>
      </c>
      <c r="H3" s="47">
        <f t="shared" si="0"/>
        <v>-4.8555888336701769E-2</v>
      </c>
      <c r="I3" s="47">
        <f t="shared" si="0"/>
        <v>-5.0091124863113956E-2</v>
      </c>
    </row>
    <row r="4" spans="1:12" x14ac:dyDescent="0.45">
      <c r="A4" s="54"/>
      <c r="B4" s="48" t="s">
        <v>20</v>
      </c>
      <c r="C4" s="44">
        <f>+'Conso ERGO Group'!B13/1000</f>
        <v>18.091639906178866</v>
      </c>
      <c r="D4" s="44">
        <f>+'Conso ERGO Group'!D13/1000</f>
        <v>20.615322733133443</v>
      </c>
      <c r="E4" s="44">
        <f>+'Conso ERGO Group'!F13/1000</f>
        <v>20.608539765432365</v>
      </c>
      <c r="F4" s="44">
        <f>+'Conso ERGO Group'!H13/1000</f>
        <v>18.967247217087539</v>
      </c>
      <c r="G4" s="44">
        <f>+'Conso ERGO Group'!J13/1000</f>
        <v>18.388814645847479</v>
      </c>
      <c r="H4" s="44">
        <f>+'Conso ERGO Group'!L13/1000</f>
        <v>17.640116384567314</v>
      </c>
      <c r="I4" s="44">
        <f>+'Conso ERGO Group'!N13/1000</f>
        <v>16.833782627728244</v>
      </c>
    </row>
    <row r="5" spans="1:12" x14ac:dyDescent="0.45">
      <c r="A5" s="54"/>
      <c r="B5" s="46" t="s">
        <v>38</v>
      </c>
      <c r="C5" s="47">
        <v>0.153</v>
      </c>
      <c r="D5" s="47">
        <f>D4/C4-1</f>
        <v>0.13949442062975503</v>
      </c>
      <c r="E5" s="47">
        <f t="shared" ref="E5:I5" si="1">E4/D4-1</f>
        <v>-3.2902554031699616E-4</v>
      </c>
      <c r="F5" s="47">
        <f t="shared" si="1"/>
        <v>-7.964138007962307E-2</v>
      </c>
      <c r="G5" s="47">
        <f t="shared" si="1"/>
        <v>-3.0496390151911634E-2</v>
      </c>
      <c r="H5" s="47">
        <f t="shared" si="1"/>
        <v>-4.071487345429492E-2</v>
      </c>
      <c r="I5" s="47">
        <f t="shared" si="1"/>
        <v>-4.5710228847724688E-2</v>
      </c>
    </row>
    <row r="6" spans="1:12" x14ac:dyDescent="0.45">
      <c r="A6" s="54"/>
      <c r="B6" s="48" t="s">
        <v>39</v>
      </c>
      <c r="C6" s="44">
        <f>+'Conso ERGO Group'!B14/1000</f>
        <v>4.9891933741463417</v>
      </c>
      <c r="D6" s="44">
        <f>+'Conso ERGO Group'!D14/1000</f>
        <v>5.4482652538162961</v>
      </c>
      <c r="E6" s="44">
        <f>+'Conso ERGO Group'!F14/1000</f>
        <v>4.9822843388957381</v>
      </c>
      <c r="F6" s="44">
        <f>+'Conso ERGO Group'!H14/1000</f>
        <v>4.5772317030332106</v>
      </c>
      <c r="G6" s="44">
        <f>+'Conso ERGO Group'!J14/1000</f>
        <v>4.5598747733533029</v>
      </c>
      <c r="H6" s="44">
        <f>+'Conso ERGO Group'!L14/1000</f>
        <v>4.3269447108554493</v>
      </c>
      <c r="I6" s="44">
        <f>+'Conso ERGO Group'!N14/1000</f>
        <v>4.1792166498828598</v>
      </c>
    </row>
    <row r="7" spans="1:12" x14ac:dyDescent="0.45">
      <c r="A7" s="54"/>
      <c r="B7" s="46" t="s">
        <v>40</v>
      </c>
      <c r="C7" s="47">
        <v>0.1</v>
      </c>
      <c r="D7" s="47">
        <f>D6/C6-1</f>
        <v>9.2013246479648148E-2</v>
      </c>
      <c r="E7" s="47">
        <f t="shared" ref="E7:I7" si="2">E6/D6-1</f>
        <v>-8.5528309142833381E-2</v>
      </c>
      <c r="F7" s="47">
        <f>F6/E6-1</f>
        <v>-8.1298578786513476E-2</v>
      </c>
      <c r="G7" s="47">
        <f t="shared" si="2"/>
        <v>-3.7920146512150366E-3</v>
      </c>
      <c r="H7" s="47">
        <f t="shared" si="2"/>
        <v>-5.1082556884902819E-2</v>
      </c>
      <c r="I7" s="47">
        <f t="shared" si="2"/>
        <v>-3.4141425611926346E-2</v>
      </c>
    </row>
    <row r="8" spans="1:12" hidden="1" x14ac:dyDescent="0.45">
      <c r="A8" s="54"/>
      <c r="B8" s="43" t="s">
        <v>41</v>
      </c>
      <c r="C8" s="44"/>
      <c r="D8" s="44">
        <f>17445.11253038/117.5802</f>
        <v>148.3677739141454</v>
      </c>
      <c r="E8" s="44">
        <v>16.144054916652436</v>
      </c>
      <c r="F8" s="44">
        <v>19.183916937662755</v>
      </c>
      <c r="G8" s="44">
        <v>18.11761311795183</v>
      </c>
      <c r="H8" s="44">
        <v>16.040058302003416</v>
      </c>
      <c r="I8" s="44">
        <v>12.210579476007863</v>
      </c>
    </row>
    <row r="9" spans="1:12" x14ac:dyDescent="0.45">
      <c r="A9" s="54"/>
      <c r="B9" s="43" t="s">
        <v>42</v>
      </c>
      <c r="C9" s="44">
        <f>+'Conso ERGO Group'!B15/1000</f>
        <v>23.080833280325205</v>
      </c>
      <c r="D9" s="44">
        <f>+'Conso ERGO Group'!D15/1000</f>
        <v>26.063587986949738</v>
      </c>
      <c r="E9" s="44">
        <f>+'Conso ERGO Group'!F15/1000</f>
        <v>25.590824104328103</v>
      </c>
      <c r="F9" s="44">
        <f>+'Conso ERGO Group'!H15/1000</f>
        <v>23.544478920120753</v>
      </c>
      <c r="G9" s="44">
        <f>+'Conso ERGO Group'!J15/1000</f>
        <v>22.948689419200782</v>
      </c>
      <c r="H9" s="44">
        <f>+'Conso ERGO Group'!L15/1000</f>
        <v>21.967061095422764</v>
      </c>
      <c r="I9" s="44">
        <f>+'Conso ERGO Group'!N15/1000</f>
        <v>21.012999277611105</v>
      </c>
    </row>
    <row r="10" spans="1:12" ht="18.600000000000001" thickBot="1" x14ac:dyDescent="0.35">
      <c r="B10" s="43" t="s">
        <v>43</v>
      </c>
      <c r="C10" s="44">
        <f>-'Conso ERGO Group'!B20/1000</f>
        <v>17.652650989314722</v>
      </c>
      <c r="D10" s="44">
        <f>-'Conso ERGO Group'!D20/1000</f>
        <v>19.591273595231563</v>
      </c>
      <c r="E10" s="44">
        <f>-'Conso ERGO Group'!F20/1000</f>
        <v>19.834313125741868</v>
      </c>
      <c r="F10" s="44">
        <f>-'Conso ERGO Group'!H20/1000</f>
        <v>18.699302657909922</v>
      </c>
      <c r="G10" s="44">
        <f>-'Conso ERGO Group'!J20/1000</f>
        <v>18.367561706736563</v>
      </c>
      <c r="H10" s="44">
        <f>-'Conso ERGO Group'!L20/1000</f>
        <v>17.730533450850498</v>
      </c>
      <c r="I10" s="44">
        <f>-'Conso ERGO Group'!N20/1000</f>
        <v>17.062661945620466</v>
      </c>
    </row>
    <row r="11" spans="1:12" ht="19.2" thickTop="1" thickBot="1" x14ac:dyDescent="0.5">
      <c r="A11" s="54"/>
      <c r="B11" s="49" t="s">
        <v>0</v>
      </c>
      <c r="C11" s="50">
        <f t="shared" ref="C11:I11" si="3">+C9-C10</f>
        <v>5.4281822910104829</v>
      </c>
      <c r="D11" s="50">
        <f t="shared" si="3"/>
        <v>6.4723143917181751</v>
      </c>
      <c r="E11" s="50">
        <f t="shared" si="3"/>
        <v>5.7565109785862347</v>
      </c>
      <c r="F11" s="50">
        <f t="shared" si="3"/>
        <v>4.8451762622108312</v>
      </c>
      <c r="G11" s="50">
        <f t="shared" si="3"/>
        <v>4.5811277124642196</v>
      </c>
      <c r="H11" s="50">
        <f t="shared" si="3"/>
        <v>4.2365276445722664</v>
      </c>
      <c r="I11" s="50">
        <f t="shared" si="3"/>
        <v>3.9503373319906387</v>
      </c>
    </row>
    <row r="12" spans="1:12" ht="19.2" thickTop="1" thickBot="1" x14ac:dyDescent="0.5">
      <c r="A12" s="54"/>
      <c r="B12" s="51" t="s">
        <v>53</v>
      </c>
      <c r="C12" s="52">
        <f>+'Conso ERGO Group'!B21/'Conso ERGO Group'!B9</f>
        <v>2.5551549887715241E-2</v>
      </c>
      <c r="D12" s="52">
        <f>+'Conso ERGO Group'!D21/'Conso ERGO Group'!D9</f>
        <v>2.7392368368453598E-2</v>
      </c>
      <c r="E12" s="52">
        <f>+'Conso ERGO Group'!F21/'Conso ERGO Group'!F9</f>
        <v>2.5418710156748309E-2</v>
      </c>
      <c r="F12" s="52">
        <f>+'Conso ERGO Group'!H21/'Conso ERGO Group'!H9</f>
        <v>2.3287848351220976E-2</v>
      </c>
      <c r="G12" s="52">
        <f>+'Conso ERGO Group'!J21/'Conso ERGO Group'!J9</f>
        <v>2.3107199785925608E-2</v>
      </c>
      <c r="H12" s="52">
        <f>+'Conso ERGO Group'!L21/'Conso ERGO Group'!L9</f>
        <v>2.2460328094115557E-2</v>
      </c>
      <c r="I12" s="52">
        <f>+'Conso ERGO Group'!N21/'Conso ERGO Group'!N9</f>
        <v>2.2048148374861194E-2</v>
      </c>
    </row>
    <row r="13" spans="1:12" ht="19.2" thickTop="1" thickBot="1" x14ac:dyDescent="0.5">
      <c r="A13" s="54"/>
      <c r="B13" s="53" t="s">
        <v>44</v>
      </c>
      <c r="C13" s="50">
        <v>2.375</v>
      </c>
      <c r="D13" s="50">
        <v>2.1647900601626016</v>
      </c>
      <c r="E13" s="50">
        <v>2</v>
      </c>
      <c r="F13" s="50">
        <v>2</v>
      </c>
      <c r="G13" s="50">
        <v>1.82</v>
      </c>
      <c r="H13" s="50">
        <v>1.6180000000000001</v>
      </c>
      <c r="I13" s="50">
        <v>1.59</v>
      </c>
    </row>
    <row r="14" spans="1:12" ht="19.2" thickTop="1" thickBot="1" x14ac:dyDescent="0.35">
      <c r="B14" s="49" t="s">
        <v>1</v>
      </c>
      <c r="C14" s="50">
        <f>-'Conso ERGO Group'!B22/1000</f>
        <v>1.3497680687314357</v>
      </c>
      <c r="D14" s="50">
        <f>-'Conso ERGO Group'!D22/1000</f>
        <v>1.6271228455615896</v>
      </c>
      <c r="E14" s="50">
        <f>-'Conso ERGO Group'!F22/1000</f>
        <v>1.6985060246235471</v>
      </c>
      <c r="F14" s="50">
        <f>-'Conso ERGO Group'!H22/1000</f>
        <v>1.4563919055105665</v>
      </c>
      <c r="G14" s="50">
        <f>-'Conso ERGO Group'!J22/1000</f>
        <v>1.586043399427236</v>
      </c>
      <c r="H14" s="50">
        <f>-'Conso ERGO Group'!L22/1000</f>
        <v>1.6032929184279703</v>
      </c>
      <c r="I14" s="50">
        <f>-'Conso ERGO Group'!N22/1000</f>
        <v>1.6125179939578294</v>
      </c>
    </row>
    <row r="15" spans="1:12" ht="19.2" thickTop="1" thickBot="1" x14ac:dyDescent="0.5">
      <c r="A15" s="54"/>
      <c r="B15" s="51" t="s">
        <v>3</v>
      </c>
      <c r="C15" s="50">
        <f>+'Conso ERGO Group'!B26/1000</f>
        <v>1.8243979544393751</v>
      </c>
      <c r="D15" s="50">
        <f>+'Conso ERGO Group'!D26/1000</f>
        <v>2.19481688308792</v>
      </c>
      <c r="E15" s="50">
        <f>+'Conso ERGO Group'!F26/1000</f>
        <v>1.4470809232197315</v>
      </c>
      <c r="F15" s="50">
        <f>+'Conso ERGO Group'!H26/1000</f>
        <v>1.0171116474437252</v>
      </c>
      <c r="G15" s="50">
        <f>+'Conso ERGO Group'!J26/1000</f>
        <v>0.7610509926813418</v>
      </c>
      <c r="H15" s="50">
        <f>+'Conso ERGO Group'!L26/1000</f>
        <v>0.51564127365350421</v>
      </c>
      <c r="I15" s="50">
        <f>+'Conso ERGO Group'!N26/1000</f>
        <v>0.37988610763564296</v>
      </c>
    </row>
    <row r="16" spans="1:12" ht="19.2" thickTop="1" thickBot="1" x14ac:dyDescent="0.5">
      <c r="A16" s="54"/>
      <c r="B16" s="53" t="s">
        <v>47</v>
      </c>
      <c r="C16" s="50">
        <v>17.731682185889568</v>
      </c>
      <c r="D16" s="50">
        <v>17.979307132409879</v>
      </c>
      <c r="E16" s="50">
        <f>+D16+1.2</f>
        <v>19.179307132409878</v>
      </c>
      <c r="F16" s="50">
        <f>+E16+0.86</f>
        <v>20.039307132409878</v>
      </c>
      <c r="G16" s="50">
        <f>+F16+0.647</f>
        <v>20.686307132409876</v>
      </c>
      <c r="H16" s="50">
        <f>+G16+0.61</f>
        <v>21.296307132409876</v>
      </c>
      <c r="I16" s="50">
        <f>+H16+0.57</f>
        <v>21.866307132409876</v>
      </c>
      <c r="L16" s="55"/>
    </row>
    <row r="17" spans="1:12" ht="19.2" thickTop="1" thickBot="1" x14ac:dyDescent="0.35">
      <c r="B17" s="49" t="s">
        <v>46</v>
      </c>
      <c r="C17" s="50">
        <v>13.28428411705319</v>
      </c>
      <c r="D17" s="50">
        <v>13.206636164103067</v>
      </c>
      <c r="E17" s="50">
        <v>13.436520954594686</v>
      </c>
      <c r="F17" s="50">
        <v>12.8</v>
      </c>
      <c r="G17" s="50">
        <v>12</v>
      </c>
      <c r="H17" s="50">
        <v>11.3</v>
      </c>
      <c r="I17" s="50">
        <v>11</v>
      </c>
    </row>
    <row r="18" spans="1:12" ht="19.2" thickTop="1" thickBot="1" x14ac:dyDescent="0.5">
      <c r="A18" s="54"/>
      <c r="B18" s="51" t="s">
        <v>48</v>
      </c>
      <c r="C18" s="50">
        <v>15.403927733556415</v>
      </c>
      <c r="D18" s="50">
        <v>13.879117542574654</v>
      </c>
      <c r="E18" s="50">
        <v>14</v>
      </c>
      <c r="F18" s="50">
        <v>13.8</v>
      </c>
      <c r="G18" s="50">
        <v>13.5</v>
      </c>
      <c r="H18" s="50">
        <v>13</v>
      </c>
      <c r="I18" s="50">
        <v>12</v>
      </c>
    </row>
    <row r="19" spans="1:12" ht="19.2" thickTop="1" thickBot="1" x14ac:dyDescent="0.5">
      <c r="A19" s="54"/>
      <c r="B19" s="53" t="s">
        <v>50</v>
      </c>
      <c r="C19" s="50">
        <f t="shared" ref="C19:I19" si="4">+C18/C11</f>
        <v>2.8377690555946486</v>
      </c>
      <c r="D19" s="50">
        <f t="shared" si="4"/>
        <v>2.1443824731898151</v>
      </c>
      <c r="E19" s="50">
        <f>+E18/E11</f>
        <v>2.4320287153240727</v>
      </c>
      <c r="F19" s="50">
        <f t="shared" si="4"/>
        <v>2.8481935956862641</v>
      </c>
      <c r="G19" s="50">
        <f t="shared" si="4"/>
        <v>2.9468726582909994</v>
      </c>
      <c r="H19" s="50">
        <f t="shared" si="4"/>
        <v>3.0685507308456432</v>
      </c>
      <c r="I19" s="50">
        <f t="shared" si="4"/>
        <v>3.0377152611301188</v>
      </c>
      <c r="L19" s="55"/>
    </row>
    <row r="20" spans="1:12" ht="19.2" thickTop="1" thickBot="1" x14ac:dyDescent="0.35">
      <c r="C20" s="56"/>
      <c r="D20" s="56"/>
      <c r="E20" s="56"/>
      <c r="F20" s="56"/>
      <c r="G20" s="56"/>
      <c r="H20" s="56"/>
      <c r="I20" s="56"/>
    </row>
    <row r="21" spans="1:12" ht="18.600000000000001" thickBot="1" x14ac:dyDescent="0.35">
      <c r="B21" s="78"/>
      <c r="C21" s="79"/>
      <c r="D21" s="79"/>
      <c r="E21" s="79"/>
      <c r="F21" s="79"/>
      <c r="G21" s="79"/>
      <c r="H21" s="79"/>
      <c r="I21" s="79"/>
      <c r="J21" s="80"/>
    </row>
    <row r="22" spans="1:12" x14ac:dyDescent="0.3">
      <c r="E22" s="56"/>
    </row>
    <row r="23" spans="1:12" x14ac:dyDescent="0.3">
      <c r="D23" s="56"/>
    </row>
    <row r="24" spans="1:12" x14ac:dyDescent="0.3">
      <c r="E24" s="76"/>
      <c r="F24" s="76"/>
      <c r="G24" s="76"/>
      <c r="H24" s="76"/>
      <c r="I24" s="76"/>
    </row>
    <row r="26" spans="1:12" x14ac:dyDescent="0.3">
      <c r="E26" s="76"/>
      <c r="F26" s="76"/>
      <c r="G26" s="76"/>
      <c r="H26" s="76"/>
      <c r="I26" s="76"/>
    </row>
    <row r="28" spans="1:12" x14ac:dyDescent="0.3">
      <c r="E28" s="57"/>
      <c r="F28" s="57"/>
      <c r="G28" s="57"/>
      <c r="H28" s="57"/>
      <c r="I28" s="57"/>
    </row>
    <row r="29" spans="1:12" x14ac:dyDescent="0.3">
      <c r="E29" s="57"/>
      <c r="F29" s="57"/>
      <c r="G29" s="57"/>
      <c r="H29" s="57"/>
      <c r="I29" s="57"/>
    </row>
    <row r="30" spans="1:12" x14ac:dyDescent="0.3">
      <c r="E30" s="57"/>
      <c r="F30" s="57"/>
      <c r="G30" s="57"/>
      <c r="H30" s="57"/>
      <c r="I30" s="57"/>
    </row>
    <row r="31" spans="1:12" x14ac:dyDescent="0.3">
      <c r="E31" s="57"/>
      <c r="F31" s="57"/>
      <c r="G31" s="57"/>
      <c r="H31" s="57"/>
      <c r="I31" s="57"/>
    </row>
    <row r="33" spans="5:9" x14ac:dyDescent="0.3">
      <c r="E33" s="57"/>
      <c r="F33" s="57"/>
      <c r="G33" s="57"/>
      <c r="H33" s="57"/>
      <c r="I33" s="57"/>
    </row>
    <row r="35" spans="5:9" x14ac:dyDescent="0.3">
      <c r="E35" s="57"/>
      <c r="F35" s="57"/>
      <c r="G35" s="57"/>
      <c r="H35" s="57"/>
      <c r="I35" s="57"/>
    </row>
    <row r="36" spans="5:9" x14ac:dyDescent="0.3">
      <c r="E36" s="57"/>
      <c r="F36" s="57"/>
      <c r="G36" s="57"/>
      <c r="H36" s="57"/>
      <c r="I36" s="57"/>
    </row>
    <row r="37" spans="5:9" x14ac:dyDescent="0.3">
      <c r="E37" s="57"/>
      <c r="F37" s="57"/>
      <c r="G37" s="57"/>
      <c r="H37" s="57"/>
      <c r="I37" s="57"/>
    </row>
    <row r="38" spans="5:9" x14ac:dyDescent="0.3">
      <c r="E38" s="57"/>
      <c r="F38" s="57"/>
      <c r="G38" s="57"/>
      <c r="H38" s="57"/>
      <c r="I38" s="57"/>
    </row>
  </sheetData>
  <mergeCells count="1">
    <mergeCell ref="B21:J21"/>
  </mergeCells>
  <pageMargins left="0.7" right="0.7" top="0.75" bottom="0.75" header="0.3" footer="0.3"/>
  <tableParts count="1">
    <tablePart r:id="rId1"/>
  </tablePart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 markers="1" high="1" low="1" displayHidden="1" xr2:uid="{2BB76241-7531-4471-82DE-57E5786CDE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Overview!F11:I11</xm:f>
              <xm:sqref>J11</xm:sqref>
            </x14:sparkline>
            <x14:sparkline>
              <xm:f>Overview!F12:I12</xm:f>
              <xm:sqref>J12</xm:sqref>
            </x14:sparkline>
            <x14:sparkline>
              <xm:f>Overview!F13:I13</xm:f>
              <xm:sqref>J13</xm:sqref>
            </x14:sparkline>
            <x14:sparkline>
              <xm:f>Overview!F14:I14</xm:f>
              <xm:sqref>J14</xm:sqref>
            </x14:sparkline>
            <x14:sparkline>
              <xm:f>Overview!F15:I15</xm:f>
              <xm:sqref>J15</xm:sqref>
            </x14:sparkline>
            <x14:sparkline>
              <xm:f>Overview!F16:I16</xm:f>
              <xm:sqref>J16</xm:sqref>
            </x14:sparkline>
            <x14:sparkline>
              <xm:f>Overview!F17:I17</xm:f>
              <xm:sqref>J17</xm:sqref>
            </x14:sparkline>
            <x14:sparkline>
              <xm:f>Overview!F18:I18</xm:f>
              <xm:sqref>J18</xm:sqref>
            </x14:sparkline>
            <x14:sparkline>
              <xm:f>Overview!F19:I19</xm:f>
              <xm:sqref>J19</xm:sqref>
            </x14:sparkline>
          </x14:sparklines>
        </x14:sparklineGroup>
        <x14:sparklineGroup displayEmptyCellsAs="span" markers="1" high="1" low="1" displayHidden="1" xr2:uid="{ECB8FAC5-2170-4211-9167-478483773E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Overview!F4:I4</xm:f>
              <xm:sqref>J4</xm:sqref>
            </x14:sparkline>
            <x14:sparkline>
              <xm:f>Overview!F6:I6</xm:f>
              <xm:sqref>J6</xm:sqref>
            </x14:sparkline>
            <x14:sparkline>
              <xm:f>Overview!F8:I8</xm:f>
              <xm:sqref>J8</xm:sqref>
            </x14:sparkline>
            <x14:sparkline>
              <xm:f>Overview!F9:I9</xm:f>
              <xm:sqref>J9</xm:sqref>
            </x14:sparkline>
            <x14:sparkline>
              <xm:f>Overview!F10:I10</xm:f>
              <xm:sqref>J10</xm:sqref>
            </x14:sparkline>
          </x14:sparklines>
        </x14:sparklineGroup>
        <x14:sparklineGroup displayEmptyCellsAs="span" markers="1" high="1" low="1" displayHidden="1" xr2:uid="{84ED373F-3479-48D4-87E7-C5D2CB8E68E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Overview!F2:I2</xm:f>
              <xm:sqref>J2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6DC0-2539-4F05-8EF4-494A31D8BF87}">
  <sheetPr codeName="Sheet3">
    <tabColor rgb="FF2306D2"/>
  </sheetPr>
  <dimension ref="A1:AC33"/>
  <sheetViews>
    <sheetView showGridLines="0"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N3" sqref="N3"/>
    </sheetView>
  </sheetViews>
  <sheetFormatPr defaultColWidth="11.44140625" defaultRowHeight="18" x14ac:dyDescent="0.35"/>
  <cols>
    <col min="1" max="1" width="51.88671875" style="30" bestFit="1" customWidth="1"/>
    <col min="2" max="2" width="13.109375" style="6" bestFit="1" customWidth="1"/>
    <col min="3" max="3" width="8.109375" style="6" bestFit="1" customWidth="1"/>
    <col min="4" max="4" width="14.5546875" style="6" bestFit="1" customWidth="1"/>
    <col min="5" max="5" width="8.109375" style="6" bestFit="1" customWidth="1"/>
    <col min="6" max="6" width="15.88671875" style="31" bestFit="1" customWidth="1"/>
    <col min="7" max="7" width="8.5546875" style="31" bestFit="1" customWidth="1"/>
    <col min="8" max="8" width="17.109375" style="30" bestFit="1" customWidth="1"/>
    <col min="9" max="9" width="8.109375" style="31" bestFit="1" customWidth="1"/>
    <col min="10" max="10" width="13.109375" style="6" bestFit="1" customWidth="1"/>
    <col min="11" max="11" width="8.109375" style="6" bestFit="1" customWidth="1"/>
    <col min="12" max="12" width="13.109375" style="6" bestFit="1" customWidth="1"/>
    <col min="13" max="13" width="8.109375" style="6" bestFit="1" customWidth="1"/>
    <col min="14" max="14" width="13.109375" style="6" bestFit="1" customWidth="1"/>
    <col min="15" max="15" width="10.33203125" style="6" customWidth="1"/>
    <col min="16" max="16" width="17.109375" style="6" bestFit="1" customWidth="1"/>
    <col min="17" max="24" width="16" style="6" customWidth="1"/>
    <col min="25" max="16384" width="11.44140625" style="6"/>
  </cols>
  <sheetData>
    <row r="1" spans="1:29" s="1" customFormat="1" x14ac:dyDescent="0.35">
      <c r="F1" s="2"/>
      <c r="G1" s="3"/>
      <c r="H1" s="4"/>
      <c r="I1" s="3"/>
      <c r="J1" s="21"/>
    </row>
    <row r="2" spans="1:29" ht="3.75" customHeight="1" x14ac:dyDescent="0.35">
      <c r="A2" s="5"/>
      <c r="E2" s="7"/>
      <c r="F2" s="2"/>
      <c r="G2" s="2"/>
      <c r="H2" s="7"/>
      <c r="I2" s="2"/>
    </row>
    <row r="3" spans="1:29" ht="25.5" customHeight="1" x14ac:dyDescent="0.4">
      <c r="A3" s="42" t="s">
        <v>45</v>
      </c>
      <c r="B3" s="9"/>
      <c r="D3" s="63">
        <f>+D7/B7-1</f>
        <v>0.10967428201041685</v>
      </c>
      <c r="E3" s="64"/>
      <c r="F3" s="63">
        <f>+F7/D7-1</f>
        <v>-3.2367346368894379E-2</v>
      </c>
      <c r="G3" s="65"/>
      <c r="H3" s="63">
        <f>+H7/F7-1</f>
        <v>-8.1255467173830809E-2</v>
      </c>
      <c r="I3" s="65"/>
      <c r="J3" s="63">
        <f>+J7/H7-1</f>
        <v>-4.7081389886532321E-2</v>
      </c>
      <c r="K3" s="66"/>
      <c r="L3" s="63">
        <f>+L7/J7-1</f>
        <v>-4.8555888336701658E-2</v>
      </c>
      <c r="M3" s="66"/>
      <c r="N3" s="63">
        <f>+N7/L7-1</f>
        <v>-5.0091124863113956E-2</v>
      </c>
    </row>
    <row r="4" spans="1:29" x14ac:dyDescent="0.35">
      <c r="A4" s="8" t="s">
        <v>11</v>
      </c>
      <c r="B4" s="10" t="s">
        <v>12</v>
      </c>
      <c r="C4" s="10"/>
      <c r="D4" s="10" t="s">
        <v>52</v>
      </c>
      <c r="E4" s="10"/>
      <c r="F4" s="10" t="s">
        <v>33</v>
      </c>
      <c r="G4" s="10"/>
      <c r="H4" s="10" t="s">
        <v>6</v>
      </c>
      <c r="I4" s="10"/>
      <c r="J4" s="10" t="s">
        <v>7</v>
      </c>
      <c r="K4" s="10"/>
      <c r="L4" s="10" t="s">
        <v>8</v>
      </c>
      <c r="M4" s="10"/>
      <c r="N4" s="10" t="s">
        <v>9</v>
      </c>
      <c r="O4" s="10"/>
    </row>
    <row r="5" spans="1:29" ht="3.75" customHeight="1" x14ac:dyDescent="0.35">
      <c r="A5" s="11"/>
      <c r="B5" s="12"/>
      <c r="C5" s="33"/>
      <c r="D5" s="75"/>
      <c r="E5" s="75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29" ht="22.5" customHeight="1" x14ac:dyDescent="0.35">
      <c r="A6" s="13" t="s">
        <v>13</v>
      </c>
      <c r="B6" s="14"/>
      <c r="C6" s="15" t="s">
        <v>14</v>
      </c>
      <c r="D6" s="14"/>
      <c r="E6" s="15" t="s">
        <v>14</v>
      </c>
      <c r="F6" s="14"/>
      <c r="G6" s="15" t="s">
        <v>14</v>
      </c>
      <c r="H6" s="14"/>
      <c r="I6" s="15" t="s">
        <v>14</v>
      </c>
      <c r="J6" s="14"/>
      <c r="K6" s="15" t="s">
        <v>14</v>
      </c>
      <c r="L6" s="14"/>
      <c r="M6" s="15" t="s">
        <v>14</v>
      </c>
      <c r="N6" s="14"/>
      <c r="O6" s="15" t="s">
        <v>14</v>
      </c>
    </row>
    <row r="7" spans="1:29" s="19" customFormat="1" collapsed="1" x14ac:dyDescent="0.35">
      <c r="A7" s="16" t="s">
        <v>34</v>
      </c>
      <c r="B7" s="17">
        <v>223964.35892130082</v>
      </c>
      <c r="C7" s="35">
        <f t="shared" ref="C7:C28" si="0">+IFERROR(B7/B$9*100,"-")</f>
        <v>105.42454514699955</v>
      </c>
      <c r="D7" s="18">
        <v>248527.4891819178</v>
      </c>
      <c r="E7" s="35">
        <f>+IFERROR(D7/D$9*100,"-")</f>
        <v>105.1827232321874</v>
      </c>
      <c r="F7" s="18">
        <v>240483.313857375</v>
      </c>
      <c r="G7" s="35">
        <f t="shared" ref="G7:G28" si="1">+IFERROR(F7/F$9*100,"-")</f>
        <v>106.18889940823517</v>
      </c>
      <c r="H7" s="17">
        <v>220942.72984238301</v>
      </c>
      <c r="I7" s="35">
        <f>+IFERROR(H7/H$9*100,"-")</f>
        <v>106.19388250132373</v>
      </c>
      <c r="J7" s="17">
        <v>210540.43903607898</v>
      </c>
      <c r="K7" s="35">
        <f>+IFERROR(J7/J$9*100,"-")</f>
        <v>106.19655886446031</v>
      </c>
      <c r="L7" s="17">
        <v>200317.46098788298</v>
      </c>
      <c r="M7" s="35">
        <f>+IFERROR(L7/L$9*100,"-")</f>
        <v>106.20008351727157</v>
      </c>
      <c r="N7" s="17">
        <v>190283.33403727697</v>
      </c>
      <c r="O7" s="35">
        <f>+IFERROR(N7/N$9*100,"-")</f>
        <v>106.20346642657555</v>
      </c>
      <c r="P7" s="72"/>
      <c r="Q7" s="72"/>
      <c r="R7" s="74"/>
      <c r="S7" s="60"/>
      <c r="T7" s="60"/>
      <c r="U7" s="60"/>
      <c r="V7" s="60"/>
      <c r="W7" s="60"/>
      <c r="X7" s="60"/>
      <c r="Z7" s="60"/>
      <c r="AB7" s="60"/>
    </row>
    <row r="8" spans="1:29" s="19" customFormat="1" ht="18.600000000000001" collapsed="1" thickBot="1" x14ac:dyDescent="0.4">
      <c r="A8" s="20" t="s">
        <v>15</v>
      </c>
      <c r="B8" s="21">
        <v>-11523.927132845529</v>
      </c>
      <c r="C8" s="35">
        <f t="shared" si="0"/>
        <v>-5.4245451469995443</v>
      </c>
      <c r="D8" s="21">
        <v>-12245.824717591686</v>
      </c>
      <c r="E8" s="35">
        <f t="shared" ref="E8:E28" si="2">+IFERROR(D8/D$9*100,"-")</f>
        <v>-5.1827232321873904</v>
      </c>
      <c r="F8" s="21">
        <v>-14015.843907568711</v>
      </c>
      <c r="G8" s="35">
        <f>+IFERROR(F8/F$9*100,"-")</f>
        <v>-6.1888994082351649</v>
      </c>
      <c r="H8" s="21">
        <v>-12886.743340873458</v>
      </c>
      <c r="I8" s="35">
        <f>+IFERROR(H8/H$9*100,"-")</f>
        <v>-6.1938825013237286</v>
      </c>
      <c r="J8" s="21">
        <v>-12285.014107674511</v>
      </c>
      <c r="K8" s="35">
        <f t="shared" ref="K8:K28" si="3">+IFERROR(J8/J$9*100,"-")</f>
        <v>-6.1965588644603145</v>
      </c>
      <c r="L8" s="21">
        <v>-11694.764702239399</v>
      </c>
      <c r="M8" s="35">
        <f t="shared" ref="M8:M28" si="4">+IFERROR(L8/L$9*100,"-")</f>
        <v>-6.2000835172715689</v>
      </c>
      <c r="N8" s="21">
        <v>-11114.668041962592</v>
      </c>
      <c r="O8" s="35">
        <f t="shared" ref="O8:O27" si="5">+IFERROR(N8/N$9*100,"-")</f>
        <v>-6.203466426575539</v>
      </c>
      <c r="P8" s="21"/>
      <c r="Q8" s="60"/>
      <c r="R8" s="74"/>
      <c r="S8" s="60"/>
      <c r="T8" s="60"/>
      <c r="U8" s="60"/>
      <c r="V8" s="60"/>
      <c r="W8" s="60"/>
      <c r="X8" s="60"/>
      <c r="Z8" s="60"/>
      <c r="AB8" s="60"/>
    </row>
    <row r="9" spans="1:29" s="23" customFormat="1" x14ac:dyDescent="0.35">
      <c r="A9" s="16" t="s">
        <v>16</v>
      </c>
      <c r="B9" s="22">
        <f>+B7+B8</f>
        <v>212440.43178845529</v>
      </c>
      <c r="C9" s="35">
        <f t="shared" si="0"/>
        <v>100</v>
      </c>
      <c r="D9" s="22">
        <f>+D7+D8</f>
        <v>236281.66446432611</v>
      </c>
      <c r="E9" s="35">
        <f t="shared" si="2"/>
        <v>100</v>
      </c>
      <c r="F9" s="22">
        <f>+F7+F8</f>
        <v>226467.46994980628</v>
      </c>
      <c r="G9" s="35">
        <f t="shared" si="1"/>
        <v>100</v>
      </c>
      <c r="H9" s="22">
        <f>+H7+H8</f>
        <v>208055.98650150956</v>
      </c>
      <c r="I9" s="35">
        <f t="shared" ref="I9:I28" si="6">+IFERROR(H9/H$9*100,"-")</f>
        <v>100</v>
      </c>
      <c r="J9" s="22">
        <f>+J7+J8</f>
        <v>198255.42492840448</v>
      </c>
      <c r="K9" s="35">
        <f t="shared" si="3"/>
        <v>100</v>
      </c>
      <c r="L9" s="22">
        <f>+L7+L8</f>
        <v>188622.69628564359</v>
      </c>
      <c r="M9" s="35">
        <f t="shared" si="4"/>
        <v>100</v>
      </c>
      <c r="N9" s="22">
        <f>+N7+N8</f>
        <v>179168.66599531437</v>
      </c>
      <c r="O9" s="35">
        <f t="shared" si="5"/>
        <v>100</v>
      </c>
      <c r="P9" s="72"/>
      <c r="Q9" s="61"/>
      <c r="R9" s="74"/>
      <c r="S9" s="61"/>
      <c r="T9" s="61"/>
      <c r="U9" s="61"/>
      <c r="V9" s="61"/>
      <c r="W9" s="61"/>
      <c r="X9" s="61"/>
      <c r="Z9" s="61"/>
      <c r="AB9" s="61"/>
    </row>
    <row r="10" spans="1:29" s="23" customFormat="1" x14ac:dyDescent="0.35">
      <c r="A10" s="16" t="s">
        <v>17</v>
      </c>
      <c r="B10" s="17">
        <v>-201598.45952276423</v>
      </c>
      <c r="C10" s="35">
        <f t="shared" si="0"/>
        <v>-94.896464776306175</v>
      </c>
      <c r="D10" s="17">
        <v>-222649.69723902456</v>
      </c>
      <c r="E10" s="35">
        <f>+IFERROR(D10/D$9*100,"-")</f>
        <v>-94.230628408595919</v>
      </c>
      <c r="F10" s="17">
        <v>-213332.35669271753</v>
      </c>
      <c r="G10" s="35">
        <f>+IFERROR(F10/F$9*100,"-")</f>
        <v>-94.2</v>
      </c>
      <c r="H10" s="17">
        <v>-195988.73928442202</v>
      </c>
      <c r="I10" s="35">
        <f t="shared" si="6"/>
        <v>-94.2</v>
      </c>
      <c r="J10" s="17">
        <v>-186756.610282557</v>
      </c>
      <c r="K10" s="35">
        <f t="shared" si="3"/>
        <v>-94.199999999999989</v>
      </c>
      <c r="L10" s="17">
        <v>-177682.57990107627</v>
      </c>
      <c r="M10" s="35">
        <f t="shared" si="4"/>
        <v>-94.2</v>
      </c>
      <c r="N10" s="17">
        <v>-168776.88336758612</v>
      </c>
      <c r="O10" s="35">
        <f t="shared" si="5"/>
        <v>-94.199999999999989</v>
      </c>
      <c r="P10" s="72"/>
      <c r="Q10" s="61"/>
      <c r="R10" s="74"/>
      <c r="S10" s="61"/>
      <c r="T10" s="61"/>
      <c r="U10" s="61"/>
      <c r="V10" s="61"/>
      <c r="W10" s="61"/>
      <c r="X10" s="61"/>
      <c r="Z10" s="61"/>
      <c r="AB10" s="61"/>
    </row>
    <row r="11" spans="1:29" s="23" customFormat="1" ht="18" customHeight="1" x14ac:dyDescent="0.35">
      <c r="A11" s="16" t="s">
        <v>18</v>
      </c>
      <c r="B11" s="24">
        <f>+B9+B10</f>
        <v>10841.97226569106</v>
      </c>
      <c r="C11" s="35">
        <f t="shared" si="0"/>
        <v>5.1035352236938207</v>
      </c>
      <c r="D11" s="24">
        <f>+D9+D10</f>
        <v>13631.967225301545</v>
      </c>
      <c r="E11" s="35">
        <f t="shared" si="2"/>
        <v>5.7693715914040826</v>
      </c>
      <c r="F11" s="24">
        <f>+F9+F10</f>
        <v>13135.113257088757</v>
      </c>
      <c r="G11" s="35">
        <f>+IFERROR(F11/F$9*100,"-")</f>
        <v>5.7999999999999972</v>
      </c>
      <c r="H11" s="24">
        <f>+H9+H10</f>
        <v>12067.247217087541</v>
      </c>
      <c r="I11" s="35">
        <f t="shared" si="6"/>
        <v>5.7999999999999936</v>
      </c>
      <c r="J11" s="24">
        <f>+J9+J10</f>
        <v>11498.81464584748</v>
      </c>
      <c r="K11" s="35">
        <f t="shared" si="3"/>
        <v>5.8000000000000105</v>
      </c>
      <c r="L11" s="24">
        <f>+L9+L10</f>
        <v>10940.116384567315</v>
      </c>
      <c r="M11" s="35">
        <f t="shared" si="4"/>
        <v>5.7999999999999927</v>
      </c>
      <c r="N11" s="24">
        <f>+N9+N10</f>
        <v>10391.782627728244</v>
      </c>
      <c r="O11" s="35">
        <f t="shared" si="5"/>
        <v>5.800000000000006</v>
      </c>
      <c r="P11" s="72"/>
      <c r="Q11" s="61"/>
      <c r="R11" s="74"/>
      <c r="S11" s="61"/>
      <c r="T11" s="61"/>
      <c r="U11" s="61"/>
      <c r="V11" s="61"/>
      <c r="W11" s="61"/>
      <c r="X11" s="61"/>
      <c r="Z11" s="61"/>
      <c r="AB11" s="61"/>
    </row>
    <row r="12" spans="1:29" ht="18.600000000000001" collapsed="1" thickBot="1" x14ac:dyDescent="0.4">
      <c r="A12" s="25" t="s">
        <v>19</v>
      </c>
      <c r="B12" s="21">
        <v>7249.6676404878053</v>
      </c>
      <c r="C12" s="36">
        <f t="shared" si="0"/>
        <v>3.4125649150002229</v>
      </c>
      <c r="D12" s="21">
        <v>6983.3555078318977</v>
      </c>
      <c r="E12" s="36">
        <f t="shared" si="2"/>
        <v>2.9555215482605708</v>
      </c>
      <c r="F12" s="21">
        <v>7473.4265083436076</v>
      </c>
      <c r="G12" s="36">
        <f>+IFERROR(F12/F$9*100,"-")</f>
        <v>3.3000000000000003</v>
      </c>
      <c r="H12" s="21">
        <v>6900</v>
      </c>
      <c r="I12" s="36">
        <f t="shared" si="6"/>
        <v>3.3164150265630243</v>
      </c>
      <c r="J12" s="41">
        <v>6890</v>
      </c>
      <c r="K12" s="36">
        <f t="shared" si="3"/>
        <v>3.4753147372830626</v>
      </c>
      <c r="L12" s="41">
        <v>6700</v>
      </c>
      <c r="M12" s="36">
        <f t="shared" si="4"/>
        <v>3.5520645881626858</v>
      </c>
      <c r="N12" s="41">
        <v>6442</v>
      </c>
      <c r="O12" s="36">
        <f t="shared" si="5"/>
        <v>3.5954947614380695</v>
      </c>
      <c r="P12" s="72"/>
      <c r="Q12" s="62"/>
      <c r="R12" s="74"/>
      <c r="S12" s="62"/>
      <c r="T12" s="62"/>
      <c r="U12" s="62"/>
      <c r="V12" s="62"/>
      <c r="W12" s="62"/>
      <c r="X12" s="62"/>
      <c r="Z12" s="62"/>
      <c r="AB12" s="62"/>
    </row>
    <row r="13" spans="1:29" x14ac:dyDescent="0.35">
      <c r="A13" s="26" t="s">
        <v>20</v>
      </c>
      <c r="B13" s="22">
        <f>+B11+B12</f>
        <v>18091.639906178865</v>
      </c>
      <c r="C13" s="38">
        <f t="shared" si="0"/>
        <v>8.5161001386940445</v>
      </c>
      <c r="D13" s="22">
        <f>+D11+D12</f>
        <v>20615.322733133442</v>
      </c>
      <c r="E13" s="38">
        <f>+IFERROR(D13/D$9*100,"-")</f>
        <v>8.724893139664653</v>
      </c>
      <c r="F13" s="22">
        <f>+F11+F12</f>
        <v>20608.539765432364</v>
      </c>
      <c r="G13" s="38">
        <f t="shared" si="1"/>
        <v>9.0999999999999979</v>
      </c>
      <c r="H13" s="22">
        <f>+H11+H12</f>
        <v>18967.247217087541</v>
      </c>
      <c r="I13" s="38">
        <f t="shared" si="6"/>
        <v>9.1164150265630166</v>
      </c>
      <c r="J13" s="22">
        <f>+J11+J12</f>
        <v>18388.81464584748</v>
      </c>
      <c r="K13" s="38">
        <f t="shared" si="3"/>
        <v>9.2753147372830735</v>
      </c>
      <c r="L13" s="22">
        <f>+L11+L12</f>
        <v>17640.116384567315</v>
      </c>
      <c r="M13" s="38">
        <f t="shared" si="4"/>
        <v>9.352064588162678</v>
      </c>
      <c r="N13" s="22">
        <f>+N11+N12</f>
        <v>16833.782627728244</v>
      </c>
      <c r="O13" s="38">
        <f t="shared" si="5"/>
        <v>9.3954947614380746</v>
      </c>
      <c r="P13" s="72"/>
      <c r="Q13" s="62"/>
      <c r="R13" s="74"/>
      <c r="S13" s="62"/>
      <c r="T13" s="62"/>
      <c r="U13" s="62"/>
      <c r="V13" s="62"/>
      <c r="W13" s="62"/>
      <c r="X13" s="62"/>
      <c r="Z13" s="62"/>
      <c r="AB13" s="62"/>
    </row>
    <row r="14" spans="1:29" ht="18.600000000000001" collapsed="1" thickBot="1" x14ac:dyDescent="0.4">
      <c r="A14" s="25" t="s">
        <v>4</v>
      </c>
      <c r="B14" s="27">
        <v>4989.1933741463417</v>
      </c>
      <c r="C14" s="36">
        <f t="shared" si="0"/>
        <v>2.3485140432751983</v>
      </c>
      <c r="D14" s="21">
        <v>5448.2652538162965</v>
      </c>
      <c r="E14" s="36">
        <f t="shared" si="2"/>
        <v>2.3058349729201599</v>
      </c>
      <c r="F14" s="41">
        <v>4982.2843388957381</v>
      </c>
      <c r="G14" s="36">
        <f t="shared" si="1"/>
        <v>2.1999999999999997</v>
      </c>
      <c r="H14" s="21">
        <v>4577.2317030332106</v>
      </c>
      <c r="I14" s="36">
        <f t="shared" si="6"/>
        <v>2.2000000000000002</v>
      </c>
      <c r="J14" s="21">
        <v>4559.8747733533028</v>
      </c>
      <c r="K14" s="36">
        <f t="shared" si="3"/>
        <v>2.2999999999999998</v>
      </c>
      <c r="L14" s="21">
        <v>4326.9447108554496</v>
      </c>
      <c r="M14" s="36">
        <f t="shared" si="4"/>
        <v>2.293968221248877</v>
      </c>
      <c r="N14" s="21">
        <v>4179.2166498828601</v>
      </c>
      <c r="O14" s="36">
        <f t="shared" si="5"/>
        <v>2.3325600080050579</v>
      </c>
      <c r="P14" s="72"/>
      <c r="Q14" s="62"/>
      <c r="R14" s="74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</row>
    <row r="15" spans="1:29" x14ac:dyDescent="0.35">
      <c r="A15" s="26" t="s">
        <v>21</v>
      </c>
      <c r="B15" s="22">
        <f>+B13+B14</f>
        <v>23080.833280325205</v>
      </c>
      <c r="C15" s="38">
        <f t="shared" si="0"/>
        <v>10.864614181969241</v>
      </c>
      <c r="D15" s="22">
        <f>+D13+D14</f>
        <v>26063.587986949737</v>
      </c>
      <c r="E15" s="38">
        <f t="shared" si="2"/>
        <v>11.030728112584812</v>
      </c>
      <c r="F15" s="22">
        <f>+F13+F14</f>
        <v>25590.824104328101</v>
      </c>
      <c r="G15" s="38">
        <f t="shared" si="1"/>
        <v>11.299999999999995</v>
      </c>
      <c r="H15" s="22">
        <f>+H13+H14</f>
        <v>23544.478920120753</v>
      </c>
      <c r="I15" s="38">
        <f t="shared" si="6"/>
        <v>11.316415026563019</v>
      </c>
      <c r="J15" s="22">
        <f>+J13+J14</f>
        <v>22948.689419200782</v>
      </c>
      <c r="K15" s="38">
        <f t="shared" si="3"/>
        <v>11.575314737283072</v>
      </c>
      <c r="L15" s="22">
        <f>+L13+L14</f>
        <v>21967.061095422763</v>
      </c>
      <c r="M15" s="38">
        <f t="shared" si="4"/>
        <v>11.646032809411555</v>
      </c>
      <c r="N15" s="22">
        <f>+N13+N14</f>
        <v>21012.999277611103</v>
      </c>
      <c r="O15" s="38">
        <f t="shared" si="5"/>
        <v>11.728054769443133</v>
      </c>
      <c r="P15" s="72"/>
      <c r="Q15" s="62"/>
      <c r="R15" s="74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</row>
    <row r="16" spans="1:29" x14ac:dyDescent="0.35">
      <c r="A16" s="25" t="s">
        <v>22</v>
      </c>
      <c r="B16" s="21">
        <v>-9219.3601543991554</v>
      </c>
      <c r="C16" s="36">
        <f t="shared" si="0"/>
        <v>-4.339738945541046</v>
      </c>
      <c r="D16" s="21">
        <v>-10322.161862012697</v>
      </c>
      <c r="E16" s="36">
        <f t="shared" si="2"/>
        <v>-4.3685835231498213</v>
      </c>
      <c r="F16" s="21">
        <v>-10417.503617691087</v>
      </c>
      <c r="G16" s="36">
        <f t="shared" si="1"/>
        <v>-4.5999999999999996</v>
      </c>
      <c r="H16" s="21">
        <v>-9570.5753790694398</v>
      </c>
      <c r="I16" s="36">
        <f>+IFERROR(H16/H$9*100,"-")</f>
        <v>-4.5999999999999996</v>
      </c>
      <c r="J16" s="21">
        <v>-9119.7495467066055</v>
      </c>
      <c r="K16" s="36">
        <f t="shared" si="3"/>
        <v>-4.5999999999999996</v>
      </c>
      <c r="L16" s="21">
        <v>-8676.6440291396048</v>
      </c>
      <c r="M16" s="36">
        <f t="shared" si="4"/>
        <v>-4.5999999999999996</v>
      </c>
      <c r="N16" s="21">
        <v>-8241.7586357844593</v>
      </c>
      <c r="O16" s="36">
        <f t="shared" si="5"/>
        <v>-4.5999999999999996</v>
      </c>
      <c r="P16" s="72"/>
      <c r="Q16" s="62"/>
      <c r="R16" s="74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</row>
    <row r="17" spans="1:29" collapsed="1" x14ac:dyDescent="0.35">
      <c r="A17" s="25" t="s">
        <v>23</v>
      </c>
      <c r="B17" s="21">
        <v>-1254.7400867545125</v>
      </c>
      <c r="C17" s="36">
        <f t="shared" si="0"/>
        <v>-0.59063148958573108</v>
      </c>
      <c r="D17" s="21">
        <v>-1566.5374917332224</v>
      </c>
      <c r="E17" s="36">
        <f t="shared" si="2"/>
        <v>-0.66299579160520894</v>
      </c>
      <c r="F17" s="21">
        <v>-1489.0370833445456</v>
      </c>
      <c r="G17" s="36">
        <f t="shared" si="1"/>
        <v>-0.65750594717845001</v>
      </c>
      <c r="H17" s="21">
        <v>-1560.4198987613217</v>
      </c>
      <c r="I17" s="36">
        <f t="shared" si="6"/>
        <v>-0.75000000000000011</v>
      </c>
      <c r="J17" s="21">
        <v>-1685.1711118914379</v>
      </c>
      <c r="K17" s="36">
        <f>+IFERROR(J17/J$9*100,"-")</f>
        <v>-0.84999999999999987</v>
      </c>
      <c r="L17" s="21">
        <v>-1697.6042665707923</v>
      </c>
      <c r="M17" s="36">
        <f t="shared" si="4"/>
        <v>-0.90000000000000013</v>
      </c>
      <c r="N17" s="21">
        <v>-1612.5179939578293</v>
      </c>
      <c r="O17" s="36">
        <f t="shared" si="5"/>
        <v>-0.89999999999999991</v>
      </c>
      <c r="P17" s="72"/>
      <c r="Q17" s="62"/>
      <c r="R17" s="74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</row>
    <row r="18" spans="1:29" x14ac:dyDescent="0.35">
      <c r="A18" s="25" t="s">
        <v>24</v>
      </c>
      <c r="B18" s="21">
        <v>-2011.5215928399771</v>
      </c>
      <c r="C18" s="37">
        <f t="shared" si="0"/>
        <v>-0.94686382243989109</v>
      </c>
      <c r="D18" s="21">
        <v>-2278.0627342466701</v>
      </c>
      <c r="E18" s="37">
        <f t="shared" si="2"/>
        <v>-0.96413013655175639</v>
      </c>
      <c r="F18" s="21">
        <v>-2316.2651465414201</v>
      </c>
      <c r="G18" s="37">
        <f t="shared" si="1"/>
        <v>-1.0227805110618278</v>
      </c>
      <c r="H18" s="21">
        <v>-2366.90771754142</v>
      </c>
      <c r="I18" s="37">
        <f t="shared" si="6"/>
        <v>-1.137630191440921</v>
      </c>
      <c r="J18" s="21">
        <v>-2408</v>
      </c>
      <c r="K18" s="37">
        <f>+IFERROR(J18/J$9*100,"-")</f>
        <v>-1.2145947586905101</v>
      </c>
      <c r="L18" s="21">
        <v>-2452.0950517133665</v>
      </c>
      <c r="M18" s="37">
        <f>+IFERROR(L18/L$9*100,"-")</f>
        <v>-1.3</v>
      </c>
      <c r="N18" s="21">
        <v>-2550</v>
      </c>
      <c r="O18" s="37">
        <f t="shared" si="5"/>
        <v>-1.4232399319570128</v>
      </c>
      <c r="P18" s="72"/>
      <c r="Q18" s="62"/>
      <c r="R18" s="74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</row>
    <row r="19" spans="1:29" x14ac:dyDescent="0.35">
      <c r="A19" s="25" t="s">
        <v>25</v>
      </c>
      <c r="B19" s="21">
        <v>-5167.0291553210755</v>
      </c>
      <c r="C19" s="36">
        <f t="shared" si="0"/>
        <v>-2.432224935631047</v>
      </c>
      <c r="D19" s="21">
        <v>-5424.5115072389717</v>
      </c>
      <c r="E19" s="36">
        <f t="shared" si="2"/>
        <v>-2.2957818244326642</v>
      </c>
      <c r="F19" s="21">
        <v>-5611.5072781648169</v>
      </c>
      <c r="G19" s="36">
        <f t="shared" si="1"/>
        <v>-2.4778425260848893</v>
      </c>
      <c r="H19" s="21">
        <v>-5201.3996625377385</v>
      </c>
      <c r="I19" s="36">
        <f t="shared" si="6"/>
        <v>-2.5</v>
      </c>
      <c r="J19" s="21">
        <v>-5154.6410481385201</v>
      </c>
      <c r="K19" s="36">
        <f>+IFERROR(J19/J$9*100,"-")</f>
        <v>-2.6000000000000019</v>
      </c>
      <c r="L19" s="21">
        <v>-4904.190103426733</v>
      </c>
      <c r="M19" s="36">
        <f t="shared" si="4"/>
        <v>-2.6</v>
      </c>
      <c r="N19" s="21">
        <v>-4658.385315878174</v>
      </c>
      <c r="O19" s="36">
        <f t="shared" si="5"/>
        <v>-2.6</v>
      </c>
      <c r="P19" s="72"/>
      <c r="Q19" s="62"/>
      <c r="R19" s="74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</row>
    <row r="20" spans="1:29" x14ac:dyDescent="0.35">
      <c r="A20" s="28" t="s">
        <v>26</v>
      </c>
      <c r="B20" s="17">
        <f>SUM(B16:B19)</f>
        <v>-17652.650989314723</v>
      </c>
      <c r="C20" s="38">
        <f t="shared" si="0"/>
        <v>-8.3094591931977178</v>
      </c>
      <c r="D20" s="17">
        <f>SUM(D16:D19)</f>
        <v>-19591.273595231563</v>
      </c>
      <c r="E20" s="38">
        <f t="shared" si="2"/>
        <v>-8.2914912757394514</v>
      </c>
      <c r="F20" s="17">
        <f>SUM(F16:F19)</f>
        <v>-19834.313125741868</v>
      </c>
      <c r="G20" s="38">
        <f t="shared" si="1"/>
        <v>-8.7581289843251664</v>
      </c>
      <c r="H20" s="17">
        <f>SUM(H16:H19)</f>
        <v>-18699.302657909921</v>
      </c>
      <c r="I20" s="38">
        <f t="shared" si="6"/>
        <v>-8.9876301914409211</v>
      </c>
      <c r="J20" s="17">
        <f>SUM(J16:J19)</f>
        <v>-18367.561706736564</v>
      </c>
      <c r="K20" s="38">
        <f t="shared" si="3"/>
        <v>-9.264594758690512</v>
      </c>
      <c r="L20" s="17">
        <f>SUM(L16:L19)</f>
        <v>-17730.533450850497</v>
      </c>
      <c r="M20" s="38">
        <f t="shared" si="4"/>
        <v>-9.4</v>
      </c>
      <c r="N20" s="17">
        <f>SUM(N16:N19)</f>
        <v>-17062.661945620464</v>
      </c>
      <c r="O20" s="38">
        <f t="shared" si="5"/>
        <v>-9.5232399319570131</v>
      </c>
      <c r="P20" s="72"/>
      <c r="Q20" s="62"/>
      <c r="R20" s="74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</row>
    <row r="21" spans="1:29" x14ac:dyDescent="0.35">
      <c r="A21" s="28" t="s">
        <v>27</v>
      </c>
      <c r="B21" s="17">
        <f>+B15+B20</f>
        <v>5428.182291010482</v>
      </c>
      <c r="C21" s="38">
        <f t="shared" si="0"/>
        <v>2.5551549887715241</v>
      </c>
      <c r="D21" s="17">
        <f>+D15+D20</f>
        <v>6472.3143917181733</v>
      </c>
      <c r="E21" s="38">
        <f t="shared" si="2"/>
        <v>2.7392368368453597</v>
      </c>
      <c r="F21" s="17">
        <f>+F15+F20</f>
        <v>5756.5109785862333</v>
      </c>
      <c r="G21" s="38">
        <f>+IFERROR(F21/F$9*100,"-")</f>
        <v>2.5418710156748308</v>
      </c>
      <c r="H21" s="17">
        <f>+H15+H20</f>
        <v>4845.1762622108326</v>
      </c>
      <c r="I21" s="38">
        <f t="shared" si="6"/>
        <v>2.3287848351220974</v>
      </c>
      <c r="J21" s="17">
        <f>+J15+J20</f>
        <v>4581.1277124642183</v>
      </c>
      <c r="K21" s="38">
        <f t="shared" si="3"/>
        <v>2.310719978592561</v>
      </c>
      <c r="L21" s="17">
        <f>+L15+L20</f>
        <v>4236.5276445722666</v>
      </c>
      <c r="M21" s="38">
        <f t="shared" si="4"/>
        <v>2.2460328094115556</v>
      </c>
      <c r="N21" s="17">
        <f>+N15+N20</f>
        <v>3950.3373319906386</v>
      </c>
      <c r="O21" s="38">
        <f t="shared" si="5"/>
        <v>2.2048148374861194</v>
      </c>
      <c r="P21" s="72"/>
      <c r="Q21" s="62"/>
      <c r="R21" s="74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</row>
    <row r="22" spans="1:29" ht="18.600000000000001" thickBot="1" x14ac:dyDescent="0.4">
      <c r="A22" s="29" t="s">
        <v>28</v>
      </c>
      <c r="B22" s="21">
        <v>-1349.7680687314357</v>
      </c>
      <c r="C22" s="36">
        <f t="shared" si="0"/>
        <v>-0.63536307913152457</v>
      </c>
      <c r="D22" s="21">
        <v>-1627.1228455615897</v>
      </c>
      <c r="E22" s="36">
        <f t="shared" si="2"/>
        <v>-0.68863694914729756</v>
      </c>
      <c r="F22" s="21">
        <v>-1698.5060246235471</v>
      </c>
      <c r="G22" s="36">
        <f t="shared" si="1"/>
        <v>-0.75</v>
      </c>
      <c r="H22" s="21">
        <v>-1456.3919055105666</v>
      </c>
      <c r="I22" s="36">
        <f t="shared" si="6"/>
        <v>-0.69999999999999984</v>
      </c>
      <c r="J22" s="21">
        <v>-1586.043399427236</v>
      </c>
      <c r="K22" s="36">
        <f t="shared" si="3"/>
        <v>-0.8</v>
      </c>
      <c r="L22" s="21">
        <v>-1603.2929184279703</v>
      </c>
      <c r="M22" s="36">
        <f t="shared" si="4"/>
        <v>-0.84999999999999987</v>
      </c>
      <c r="N22" s="21">
        <v>-1612.5179939578293</v>
      </c>
      <c r="O22" s="36">
        <f t="shared" si="5"/>
        <v>-0.89999999999999991</v>
      </c>
      <c r="P22" s="72"/>
      <c r="Q22" s="62"/>
      <c r="R22" s="74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</row>
    <row r="23" spans="1:29" x14ac:dyDescent="0.35">
      <c r="A23" s="26" t="s">
        <v>2</v>
      </c>
      <c r="B23" s="22">
        <f>+B21+B22</f>
        <v>4078.414222279046</v>
      </c>
      <c r="C23" s="38">
        <f t="shared" si="0"/>
        <v>1.9197919096399993</v>
      </c>
      <c r="D23" s="22">
        <f>+D21+D22</f>
        <v>4845.1915461565841</v>
      </c>
      <c r="E23" s="38">
        <f t="shared" si="2"/>
        <v>2.0505998876980627</v>
      </c>
      <c r="F23" s="22">
        <f>+F21+F22</f>
        <v>4058.0049539626862</v>
      </c>
      <c r="G23" s="38">
        <f>+IFERROR(F23/F$9*100,"-")</f>
        <v>1.791871015674831</v>
      </c>
      <c r="H23" s="22">
        <f>+H21+H22</f>
        <v>3388.784356700266</v>
      </c>
      <c r="I23" s="38">
        <f t="shared" si="6"/>
        <v>1.6287848351220977</v>
      </c>
      <c r="J23" s="22">
        <f>+J21+J22</f>
        <v>2995.0843130369822</v>
      </c>
      <c r="K23" s="38">
        <f t="shared" si="3"/>
        <v>1.5107199785925607</v>
      </c>
      <c r="L23" s="22">
        <f>+L21+L22</f>
        <v>2633.2347261442965</v>
      </c>
      <c r="M23" s="38">
        <f t="shared" si="4"/>
        <v>1.3960328094115559</v>
      </c>
      <c r="N23" s="22">
        <f>+N21+N22</f>
        <v>2337.8193380328094</v>
      </c>
      <c r="O23" s="38">
        <f t="shared" si="5"/>
        <v>1.3048148374861195</v>
      </c>
      <c r="P23" s="72"/>
      <c r="Q23" s="62"/>
      <c r="R23" s="74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</row>
    <row r="24" spans="1:29" x14ac:dyDescent="0.35">
      <c r="A24" s="25" t="s">
        <v>5</v>
      </c>
      <c r="B24" s="21">
        <v>-1790.5322558596517</v>
      </c>
      <c r="C24" s="36">
        <f t="shared" si="0"/>
        <v>-0.84283968018038802</v>
      </c>
      <c r="D24" s="21">
        <v>-2136.6394451157503</v>
      </c>
      <c r="E24" s="36">
        <f t="shared" si="2"/>
        <v>-0.90427644902524407</v>
      </c>
      <c r="F24" s="21">
        <v>-2113</v>
      </c>
      <c r="G24" s="36">
        <f t="shared" si="1"/>
        <v>-0.93302583389496085</v>
      </c>
      <c r="H24" s="21">
        <v>-1872.503878513586</v>
      </c>
      <c r="I24" s="36">
        <f t="shared" si="6"/>
        <v>-0.89999999999999991</v>
      </c>
      <c r="J24" s="21">
        <v>-1784.2988243556404</v>
      </c>
      <c r="K24" s="36">
        <f t="shared" si="3"/>
        <v>-0.90000000000000013</v>
      </c>
      <c r="L24" s="21">
        <v>-1697.6042665707923</v>
      </c>
      <c r="M24" s="36">
        <f t="shared" si="4"/>
        <v>-0.90000000000000013</v>
      </c>
      <c r="N24" s="21">
        <v>-1576.6842607587664</v>
      </c>
      <c r="O24" s="36">
        <f t="shared" si="5"/>
        <v>-0.88</v>
      </c>
      <c r="P24" s="72"/>
      <c r="Q24" s="62"/>
      <c r="R24" s="74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</row>
    <row r="25" spans="1:29" ht="18.600000000000001" thickBot="1" x14ac:dyDescent="0.4">
      <c r="A25" s="29" t="s">
        <v>29</v>
      </c>
      <c r="B25" s="21">
        <v>-463.48401198001909</v>
      </c>
      <c r="C25" s="39">
        <f t="shared" si="0"/>
        <v>-0.21817128127547253</v>
      </c>
      <c r="D25" s="21">
        <v>-513.73521795291379</v>
      </c>
      <c r="E25" s="39">
        <f t="shared" si="2"/>
        <v>-0.21742491916061382</v>
      </c>
      <c r="F25" s="21">
        <v>-497.92403074295476</v>
      </c>
      <c r="G25" s="39">
        <f t="shared" si="1"/>
        <v>-0.21986558637022502</v>
      </c>
      <c r="H25" s="21">
        <v>-499.16883074295498</v>
      </c>
      <c r="I25" s="39">
        <f t="shared" si="6"/>
        <v>-0.23992043638664212</v>
      </c>
      <c r="J25" s="21">
        <v>-449.73449599999998</v>
      </c>
      <c r="K25" s="39">
        <f t="shared" si="3"/>
        <v>-0.22684599736043112</v>
      </c>
      <c r="L25" s="21">
        <v>-419.98918592000001</v>
      </c>
      <c r="M25" s="39">
        <f t="shared" si="4"/>
        <v>-0.22266100219667262</v>
      </c>
      <c r="N25" s="21">
        <v>-381.24896963840001</v>
      </c>
      <c r="O25" s="39">
        <f t="shared" si="5"/>
        <v>-0.21278774808111281</v>
      </c>
      <c r="P25" s="72"/>
      <c r="Q25" s="62"/>
      <c r="R25" s="74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</row>
    <row r="26" spans="1:29" x14ac:dyDescent="0.35">
      <c r="A26" s="26" t="s">
        <v>3</v>
      </c>
      <c r="B26" s="22">
        <f>SUM(B23:B25)</f>
        <v>1824.3979544393751</v>
      </c>
      <c r="C26" s="38">
        <f t="shared" si="0"/>
        <v>0.85878094818413886</v>
      </c>
      <c r="D26" s="22">
        <f>SUM(D23:D25)</f>
        <v>2194.8168830879199</v>
      </c>
      <c r="E26" s="38">
        <f t="shared" si="2"/>
        <v>0.92889851951220448</v>
      </c>
      <c r="F26" s="22">
        <f>SUM(F23:F25)</f>
        <v>1447.0809232197314</v>
      </c>
      <c r="G26" s="38">
        <f t="shared" si="1"/>
        <v>0.638979595409645</v>
      </c>
      <c r="H26" s="22">
        <f>SUM(H23:H25)</f>
        <v>1017.1116474437251</v>
      </c>
      <c r="I26" s="38">
        <f t="shared" si="6"/>
        <v>0.48886439873545545</v>
      </c>
      <c r="J26" s="22">
        <f>SUM(J23:J25)</f>
        <v>761.05099268134177</v>
      </c>
      <c r="K26" s="38">
        <f t="shared" si="3"/>
        <v>0.3838739812321294</v>
      </c>
      <c r="L26" s="22">
        <f>SUM(L23:L25)</f>
        <v>515.64127365350419</v>
      </c>
      <c r="M26" s="38">
        <f t="shared" si="4"/>
        <v>0.27337180721488319</v>
      </c>
      <c r="N26" s="22">
        <f>SUM(N23:N25)</f>
        <v>379.88610763564293</v>
      </c>
      <c r="O26" s="38">
        <f t="shared" si="5"/>
        <v>0.21202708940500661</v>
      </c>
      <c r="P26" s="72"/>
      <c r="Q26" s="62"/>
      <c r="R26" s="74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</row>
    <row r="27" spans="1:29" x14ac:dyDescent="0.35">
      <c r="A27" s="30" t="s">
        <v>30</v>
      </c>
      <c r="B27" s="21">
        <v>-425.58590243902501</v>
      </c>
      <c r="C27" s="36">
        <f t="shared" si="0"/>
        <v>-0.20033187602575414</v>
      </c>
      <c r="D27" s="21">
        <v>-387.87649661675226</v>
      </c>
      <c r="E27" s="36">
        <f t="shared" si="2"/>
        <v>-0.16415852558686966</v>
      </c>
      <c r="F27" s="21">
        <f>F26*-0.15</f>
        <v>-217.06213848295971</v>
      </c>
      <c r="G27" s="36">
        <f t="shared" si="1"/>
        <v>-9.5846939311446736E-2</v>
      </c>
      <c r="H27" s="21">
        <f>-H26*0.15</f>
        <v>-152.56674711655876</v>
      </c>
      <c r="I27" s="36">
        <f t="shared" si="6"/>
        <v>-7.3329659810318318E-2</v>
      </c>
      <c r="J27" s="21">
        <f>J26*-0.15</f>
        <v>-114.15764890220126</v>
      </c>
      <c r="K27" s="36">
        <f t="shared" si="3"/>
        <v>-5.7581097184819408E-2</v>
      </c>
      <c r="L27" s="21">
        <f>L26*-0.15</f>
        <v>-77.346191048025631</v>
      </c>
      <c r="M27" s="36">
        <f t="shared" si="4"/>
        <v>-4.1005771082232481E-2</v>
      </c>
      <c r="N27" s="21">
        <f>N26*-0.15</f>
        <v>-56.982916145346437</v>
      </c>
      <c r="O27" s="36">
        <f t="shared" si="5"/>
        <v>-3.1804063410750996E-2</v>
      </c>
      <c r="P27" s="72"/>
      <c r="Q27" s="62"/>
      <c r="R27" s="74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</row>
    <row r="28" spans="1:29" x14ac:dyDescent="0.35">
      <c r="A28" s="8" t="s">
        <v>31</v>
      </c>
      <c r="B28" s="17">
        <f>+B26+B27</f>
        <v>1398.8120520003501</v>
      </c>
      <c r="C28" s="38">
        <f t="shared" si="0"/>
        <v>0.65844907215838477</v>
      </c>
      <c r="D28" s="17">
        <f>+D26+D27</f>
        <v>1806.9403864711676</v>
      </c>
      <c r="E28" s="38">
        <f t="shared" si="2"/>
        <v>0.76473999392533487</v>
      </c>
      <c r="F28" s="17">
        <f>+F26+F27</f>
        <v>1230.0187847367717</v>
      </c>
      <c r="G28" s="38">
        <f t="shared" si="1"/>
        <v>0.54313265609819827</v>
      </c>
      <c r="H28" s="17">
        <f>+H26+H27</f>
        <v>864.54490032716637</v>
      </c>
      <c r="I28" s="38">
        <f t="shared" si="6"/>
        <v>0.4155347389251372</v>
      </c>
      <c r="J28" s="17">
        <f>+J26+J27</f>
        <v>646.89334377914054</v>
      </c>
      <c r="K28" s="38">
        <f t="shared" si="3"/>
        <v>0.32629288404730999</v>
      </c>
      <c r="L28" s="17">
        <f>+L26+L27</f>
        <v>438.29508260547857</v>
      </c>
      <c r="M28" s="38">
        <f t="shared" si="4"/>
        <v>0.23236603613265069</v>
      </c>
      <c r="N28" s="17">
        <f>+N26+N27</f>
        <v>322.90319149029648</v>
      </c>
      <c r="O28" s="38">
        <f>+IFERROR(N28/N$9*100,"-")</f>
        <v>0.18022302599425563</v>
      </c>
      <c r="P28" s="72"/>
      <c r="Q28" s="62"/>
      <c r="R28" s="74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</row>
    <row r="29" spans="1:29" x14ac:dyDescent="0.35">
      <c r="B29" s="32"/>
      <c r="F29" s="6"/>
      <c r="H29" s="6"/>
      <c r="K29" s="40"/>
      <c r="P29" s="60"/>
      <c r="Q29" s="62"/>
      <c r="R29" s="60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</row>
    <row r="30" spans="1:29" x14ac:dyDescent="0.35">
      <c r="R30" s="60"/>
    </row>
    <row r="31" spans="1:29" ht="6.75" customHeight="1" x14ac:dyDescent="0.35">
      <c r="R31" s="60"/>
    </row>
    <row r="32" spans="1:29" x14ac:dyDescent="0.35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2:14" x14ac:dyDescent="0.35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</row>
  </sheetData>
  <conditionalFormatting sqref="A7:A11">
    <cfRule type="cellIs" dxfId="0" priority="19" stopIfTrue="1" operator="equal">
      <formula>"no"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</vt:lpstr>
      <vt:lpstr>Overview</vt:lpstr>
      <vt:lpstr>Conso ERGO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Nešić Knežević</dc:creator>
  <cp:lastModifiedBy>Janko</cp:lastModifiedBy>
  <dcterms:created xsi:type="dcterms:W3CDTF">2023-11-16T21:02:14Z</dcterms:created>
  <dcterms:modified xsi:type="dcterms:W3CDTF">2026-06-24T12:37:55Z</dcterms:modified>
</cp:coreProperties>
</file>