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03" lockStructure="1"/>
  <bookViews>
    <workbookView xWindow="4030" yWindow="880" windowWidth="13680" windowHeight="6620"/>
  </bookViews>
  <sheets>
    <sheet name="TNUT order sheet - Feb 2026" sheetId="4" r:id="rId1"/>
    <sheet name="Colours" sheetId="3" state="hidden" r:id="rId2"/>
    <sheet name="Volumes" sheetId="6" r:id="rId3"/>
    <sheet name="Answer" sheetId="5" state="hidden" r:id="rId4"/>
  </sheets>
  <calcPr calcId="145621"/>
</workbook>
</file>

<file path=xl/calcChain.xml><?xml version="1.0" encoding="utf-8"?>
<calcChain xmlns="http://schemas.openxmlformats.org/spreadsheetml/2006/main">
  <c r="F5" i="6" l="1"/>
  <c r="I5" i="6"/>
  <c r="P23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I6" i="6"/>
  <c r="I7" i="6"/>
  <c r="I8" i="6"/>
  <c r="I9" i="6"/>
  <c r="I10" i="6"/>
  <c r="I11" i="6"/>
  <c r="I12" i="6"/>
  <c r="I13" i="6"/>
  <c r="I15" i="6"/>
  <c r="I16" i="6"/>
  <c r="I17" i="6"/>
  <c r="I18" i="6"/>
  <c r="I19" i="6"/>
  <c r="I20" i="6"/>
  <c r="I21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5" i="6"/>
  <c r="R22" i="6" l="1"/>
  <c r="F6" i="6"/>
  <c r="N6" i="6" s="1"/>
  <c r="F7" i="6"/>
  <c r="N7" i="6" s="1"/>
  <c r="F8" i="6"/>
  <c r="N8" i="6" s="1"/>
  <c r="F9" i="6"/>
  <c r="N9" i="6" s="1"/>
  <c r="F10" i="6"/>
  <c r="N10" i="6" s="1"/>
  <c r="F11" i="6"/>
  <c r="N11" i="6" s="1"/>
  <c r="F12" i="6"/>
  <c r="N12" i="6" s="1"/>
  <c r="F13" i="6"/>
  <c r="N13" i="6" s="1"/>
  <c r="N14" i="6"/>
  <c r="F15" i="6"/>
  <c r="N15" i="6" s="1"/>
  <c r="F16" i="6"/>
  <c r="N16" i="6" s="1"/>
  <c r="F17" i="6"/>
  <c r="N17" i="6" s="1"/>
  <c r="F18" i="6"/>
  <c r="N18" i="6" s="1"/>
  <c r="F19" i="6"/>
  <c r="N19" i="6" s="1"/>
  <c r="F20" i="6"/>
  <c r="N20" i="6" s="1"/>
  <c r="F21" i="6"/>
  <c r="N21" i="6" s="1"/>
  <c r="N5" i="6"/>
  <c r="P5" i="6" s="1"/>
  <c r="P22" i="6" s="1"/>
  <c r="N59" i="4"/>
  <c r="M59" i="4"/>
  <c r="J59" i="4"/>
  <c r="H59" i="4"/>
  <c r="G59" i="4"/>
  <c r="C59" i="4"/>
  <c r="G118" i="4" l="1"/>
  <c r="G220" i="4"/>
  <c r="G221" i="4"/>
  <c r="G222" i="4"/>
  <c r="G223" i="4"/>
  <c r="G224" i="4"/>
  <c r="N219" i="4"/>
  <c r="N30" i="4"/>
  <c r="M30" i="4"/>
  <c r="J30" i="4"/>
  <c r="H30" i="4"/>
  <c r="G30" i="4"/>
  <c r="C30" i="4"/>
  <c r="N29" i="4"/>
  <c r="M29" i="4"/>
  <c r="J29" i="4"/>
  <c r="H29" i="4"/>
  <c r="G29" i="4"/>
  <c r="C29" i="4"/>
  <c r="G219" i="4"/>
  <c r="G218" i="4" s="1"/>
  <c r="N221" i="4"/>
  <c r="N222" i="4"/>
  <c r="N223" i="4"/>
  <c r="N220" i="4"/>
  <c r="N224" i="4"/>
  <c r="G217" i="4"/>
  <c r="G216" i="4" s="1"/>
  <c r="H217" i="4"/>
  <c r="J217" i="4"/>
  <c r="N217" i="4"/>
  <c r="G120" i="4"/>
  <c r="G119" i="4"/>
  <c r="J119" i="4"/>
  <c r="M119" i="4"/>
  <c r="N119" i="4"/>
  <c r="J120" i="4"/>
  <c r="M120" i="4"/>
  <c r="N120" i="4"/>
  <c r="D88" i="4" l="1"/>
  <c r="C88" i="4" s="1"/>
  <c r="D87" i="4"/>
  <c r="D86" i="4"/>
  <c r="D85" i="4"/>
  <c r="C89" i="4"/>
  <c r="G228" i="4" l="1"/>
  <c r="C57" i="4"/>
  <c r="G57" i="4"/>
  <c r="H57" i="4"/>
  <c r="J57" i="4"/>
  <c r="M57" i="4"/>
  <c r="N57" i="4"/>
  <c r="N82" i="4" l="1"/>
  <c r="M82" i="4"/>
  <c r="J82" i="4"/>
  <c r="H82" i="4"/>
  <c r="G82" i="4"/>
  <c r="C82" i="4"/>
  <c r="N39" i="4"/>
  <c r="M39" i="4"/>
  <c r="J39" i="4"/>
  <c r="H39" i="4"/>
  <c r="G39" i="4"/>
  <c r="C39" i="4"/>
  <c r="N152" i="4" l="1"/>
  <c r="J152" i="4"/>
  <c r="G152" i="4"/>
  <c r="G153" i="4"/>
  <c r="J153" i="4"/>
  <c r="N153" i="4"/>
  <c r="G115" i="4" l="1"/>
  <c r="D200" i="4" l="1"/>
  <c r="D199" i="4"/>
  <c r="D198" i="4"/>
  <c r="D197" i="4"/>
  <c r="D196" i="4"/>
  <c r="G173" i="4" l="1"/>
  <c r="G174" i="4"/>
  <c r="G175" i="4"/>
  <c r="G176" i="4"/>
  <c r="G177" i="4"/>
  <c r="G178" i="4"/>
  <c r="G179" i="4"/>
  <c r="J178" i="4"/>
  <c r="N178" i="4"/>
  <c r="J176" i="4"/>
  <c r="N176" i="4"/>
  <c r="N77" i="4" l="1"/>
  <c r="G75" i="4"/>
  <c r="H91" i="4"/>
  <c r="M34" i="4"/>
  <c r="N34" i="4"/>
  <c r="J34" i="4"/>
  <c r="G34" i="4"/>
  <c r="H34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31" i="4"/>
  <c r="H31" i="4"/>
  <c r="G33" i="4"/>
  <c r="H33" i="4"/>
  <c r="G36" i="4"/>
  <c r="H36" i="4"/>
  <c r="G37" i="4"/>
  <c r="H37" i="4"/>
  <c r="G38" i="4"/>
  <c r="H38" i="4"/>
  <c r="G40" i="4"/>
  <c r="H40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8" i="4"/>
  <c r="H58" i="4"/>
  <c r="G60" i="4"/>
  <c r="H60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H75" i="4"/>
  <c r="G76" i="4"/>
  <c r="H76" i="4"/>
  <c r="G78" i="4"/>
  <c r="H78" i="4"/>
  <c r="G79" i="4"/>
  <c r="H79" i="4"/>
  <c r="G80" i="4"/>
  <c r="H80" i="4"/>
  <c r="G81" i="4"/>
  <c r="H81" i="4"/>
  <c r="G83" i="4"/>
  <c r="H83" i="4"/>
  <c r="H85" i="4"/>
  <c r="H86" i="4"/>
  <c r="H87" i="4"/>
  <c r="H88" i="4"/>
  <c r="G89" i="4"/>
  <c r="H89" i="4"/>
  <c r="M19" i="4"/>
  <c r="M20" i="4"/>
  <c r="M21" i="4"/>
  <c r="M22" i="4"/>
  <c r="M23" i="4"/>
  <c r="M24" i="4"/>
  <c r="M25" i="4"/>
  <c r="M26" i="4"/>
  <c r="M27" i="4"/>
  <c r="M28" i="4"/>
  <c r="M31" i="4"/>
  <c r="J19" i="4"/>
  <c r="J20" i="4"/>
  <c r="J21" i="4"/>
  <c r="J22" i="4"/>
  <c r="J23" i="4"/>
  <c r="J24" i="4"/>
  <c r="J25" i="4"/>
  <c r="J26" i="4"/>
  <c r="J27" i="4"/>
  <c r="J28" i="4"/>
  <c r="J31" i="4"/>
  <c r="N81" i="4"/>
  <c r="M81" i="4"/>
  <c r="J81" i="4"/>
  <c r="C81" i="4"/>
  <c r="N80" i="4"/>
  <c r="M80" i="4"/>
  <c r="J80" i="4"/>
  <c r="C80" i="4"/>
  <c r="N79" i="4"/>
  <c r="M79" i="4"/>
  <c r="J79" i="4"/>
  <c r="C79" i="4"/>
  <c r="N78" i="4"/>
  <c r="M78" i="4"/>
  <c r="J78" i="4"/>
  <c r="C78" i="4"/>
  <c r="J77" i="4"/>
  <c r="C77" i="4"/>
  <c r="M77" i="4" l="1"/>
  <c r="G77" i="4"/>
  <c r="H77" i="4"/>
  <c r="J183" i="4"/>
  <c r="J184" i="4"/>
  <c r="J185" i="4"/>
  <c r="J186" i="4"/>
  <c r="J187" i="4"/>
  <c r="J188" i="4"/>
  <c r="J189" i="4"/>
  <c r="J190" i="4"/>
  <c r="J191" i="4"/>
  <c r="J192" i="4"/>
  <c r="J193" i="4"/>
  <c r="J182" i="4"/>
  <c r="J165" i="4"/>
  <c r="J166" i="4"/>
  <c r="J167" i="4"/>
  <c r="J168" i="4"/>
  <c r="J169" i="4"/>
  <c r="J170" i="4"/>
  <c r="J171" i="4"/>
  <c r="J172" i="4"/>
  <c r="J173" i="4"/>
  <c r="J174" i="4"/>
  <c r="J175" i="4"/>
  <c r="J177" i="4"/>
  <c r="J179" i="4"/>
  <c r="J164" i="4"/>
  <c r="J157" i="4"/>
  <c r="J158" i="4"/>
  <c r="J159" i="4"/>
  <c r="J160" i="4"/>
  <c r="J161" i="4"/>
  <c r="J156" i="4"/>
  <c r="J147" i="4"/>
  <c r="J148" i="4"/>
  <c r="J149" i="4"/>
  <c r="J150" i="4"/>
  <c r="J151" i="4"/>
  <c r="J154" i="4"/>
  <c r="J146" i="4"/>
  <c r="J145" i="4"/>
  <c r="J140" i="4"/>
  <c r="J141" i="4"/>
  <c r="J142" i="4"/>
  <c r="J143" i="4"/>
  <c r="J139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C56" i="4"/>
  <c r="N55" i="4"/>
  <c r="M55" i="4"/>
  <c r="J55" i="4"/>
  <c r="C55" i="4"/>
  <c r="J56" i="4"/>
  <c r="M56" i="4"/>
  <c r="N56" i="4"/>
  <c r="C58" i="4"/>
  <c r="J58" i="4"/>
  <c r="M58" i="4"/>
  <c r="N58" i="4"/>
  <c r="N37" i="4"/>
  <c r="M37" i="4"/>
  <c r="J37" i="4"/>
  <c r="C37" i="4"/>
  <c r="N177" i="4" l="1"/>
  <c r="N179" i="4"/>
  <c r="N174" i="4"/>
  <c r="N175" i="4"/>
  <c r="N170" i="4"/>
  <c r="G170" i="4"/>
  <c r="G164" i="4" l="1"/>
  <c r="N164" i="4"/>
  <c r="G171" i="4"/>
  <c r="N171" i="4"/>
  <c r="G172" i="4"/>
  <c r="N172" i="4"/>
  <c r="N173" i="4"/>
  <c r="C60" i="4" l="1"/>
  <c r="J60" i="4"/>
  <c r="M60" i="4"/>
  <c r="N60" i="4"/>
  <c r="N156" i="4" l="1"/>
  <c r="G156" i="4"/>
  <c r="G157" i="4"/>
  <c r="N157" i="4"/>
  <c r="G158" i="4"/>
  <c r="N158" i="4"/>
  <c r="G159" i="4"/>
  <c r="N159" i="4"/>
  <c r="G160" i="4"/>
  <c r="N160" i="4"/>
  <c r="G161" i="4"/>
  <c r="N161" i="4"/>
  <c r="N53" i="4"/>
  <c r="M53" i="4"/>
  <c r="J53" i="4"/>
  <c r="C53" i="4"/>
  <c r="G155" i="4" l="1"/>
  <c r="J181" i="4"/>
  <c r="N145" i="4"/>
  <c r="G18" i="4"/>
  <c r="N208" i="4"/>
  <c r="K215" i="4"/>
  <c r="K214" i="4"/>
  <c r="K213" i="4"/>
  <c r="K212" i="4"/>
  <c r="D215" i="4"/>
  <c r="D214" i="4"/>
  <c r="D213" i="4"/>
  <c r="D212" i="4"/>
  <c r="N181" i="4" l="1"/>
  <c r="G145" i="4"/>
  <c r="G181" i="4"/>
  <c r="M195" i="4"/>
  <c r="G212" i="4"/>
  <c r="N213" i="4"/>
  <c r="N212" i="4"/>
  <c r="D181" i="4" l="1"/>
  <c r="D145" i="4"/>
  <c r="N195" i="4"/>
  <c r="G213" i="4"/>
  <c r="G208" i="4"/>
  <c r="G209" i="4"/>
  <c r="N209" i="4"/>
  <c r="G210" i="4"/>
  <c r="N210" i="4"/>
  <c r="G211" i="4"/>
  <c r="N211" i="4"/>
  <c r="G214" i="4"/>
  <c r="N214" i="4"/>
  <c r="G215" i="4"/>
  <c r="N215" i="4"/>
  <c r="N143" i="4" l="1"/>
  <c r="N142" i="4"/>
  <c r="N141" i="4"/>
  <c r="G141" i="4"/>
  <c r="G142" i="4"/>
  <c r="G143" i="4"/>
  <c r="N182" i="4" l="1"/>
  <c r="G182" i="4"/>
  <c r="G183" i="4"/>
  <c r="N183" i="4"/>
  <c r="G184" i="4"/>
  <c r="N184" i="4"/>
  <c r="G185" i="4"/>
  <c r="N185" i="4"/>
  <c r="G186" i="4"/>
  <c r="N186" i="4"/>
  <c r="G187" i="4"/>
  <c r="N187" i="4"/>
  <c r="G188" i="4"/>
  <c r="N188" i="4"/>
  <c r="G189" i="4"/>
  <c r="N189" i="4"/>
  <c r="G190" i="4"/>
  <c r="N190" i="4"/>
  <c r="G191" i="4"/>
  <c r="N191" i="4"/>
  <c r="G192" i="4"/>
  <c r="N192" i="4"/>
  <c r="G193" i="4"/>
  <c r="N193" i="4"/>
  <c r="G88" i="4"/>
  <c r="G87" i="4"/>
  <c r="G86" i="4"/>
  <c r="G85" i="4"/>
  <c r="G180" i="4" l="1"/>
  <c r="K200" i="4"/>
  <c r="K199" i="4"/>
  <c r="K198" i="4"/>
  <c r="K197" i="4"/>
  <c r="K196" i="4"/>
  <c r="K205" i="4"/>
  <c r="N205" i="4" s="1"/>
  <c r="K204" i="4"/>
  <c r="N204" i="4" s="1"/>
  <c r="K203" i="4"/>
  <c r="N203" i="4" s="1"/>
  <c r="K202" i="4"/>
  <c r="N202" i="4" s="1"/>
  <c r="K201" i="4"/>
  <c r="N201" i="4" s="1"/>
  <c r="G205" i="4"/>
  <c r="G204" i="4"/>
  <c r="G203" i="4"/>
  <c r="G202" i="4"/>
  <c r="G201" i="4"/>
  <c r="G196" i="4"/>
  <c r="M18" i="4" l="1"/>
  <c r="M33" i="4"/>
  <c r="M36" i="4"/>
  <c r="M38" i="4"/>
  <c r="M40" i="4"/>
  <c r="M42" i="4"/>
  <c r="M43" i="4"/>
  <c r="M44" i="4"/>
  <c r="M45" i="4"/>
  <c r="M46" i="4"/>
  <c r="M47" i="4"/>
  <c r="M48" i="4"/>
  <c r="M49" i="4"/>
  <c r="M50" i="4"/>
  <c r="M51" i="4"/>
  <c r="M52" i="4"/>
  <c r="M54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83" i="4"/>
  <c r="M85" i="4"/>
  <c r="M86" i="4"/>
  <c r="M87" i="4"/>
  <c r="M88" i="4"/>
  <c r="M89" i="4"/>
  <c r="M91" i="4"/>
  <c r="M93" i="4"/>
  <c r="M94" i="4"/>
  <c r="M95" i="4"/>
  <c r="M97" i="4"/>
  <c r="M98" i="4"/>
  <c r="M99" i="4"/>
  <c r="M100" i="4"/>
  <c r="M226" i="4"/>
  <c r="G199" i="4"/>
  <c r="N199" i="4"/>
  <c r="N196" i="4"/>
  <c r="G197" i="4"/>
  <c r="N197" i="4"/>
  <c r="G198" i="4"/>
  <c r="N198" i="4"/>
  <c r="G200" i="4"/>
  <c r="N200" i="4"/>
  <c r="C54" i="4"/>
  <c r="J54" i="4"/>
  <c r="N54" i="4"/>
  <c r="M207" i="4" l="1"/>
  <c r="M227" i="4" s="1"/>
  <c r="J88" i="4"/>
  <c r="N88" i="4"/>
  <c r="C69" i="4"/>
  <c r="J69" i="4"/>
  <c r="N69" i="4"/>
  <c r="G207" i="4" l="1"/>
  <c r="N207" i="4"/>
  <c r="G195" i="4"/>
  <c r="G194" i="4" s="1"/>
  <c r="N51" i="4"/>
  <c r="J51" i="4"/>
  <c r="C51" i="4"/>
  <c r="G206" i="4" l="1"/>
  <c r="D207" i="4"/>
  <c r="D195" i="4"/>
  <c r="G114" i="4"/>
  <c r="G113" i="4" s="1"/>
  <c r="N114" i="4"/>
  <c r="N115" i="4" l="1"/>
  <c r="G116" i="4"/>
  <c r="N116" i="4"/>
  <c r="G117" i="4"/>
  <c r="N117" i="4"/>
  <c r="K108" i="4"/>
  <c r="K107" i="4"/>
  <c r="N107" i="4" s="1"/>
  <c r="K109" i="4"/>
  <c r="K110" i="4" s="1"/>
  <c r="K111" i="4"/>
  <c r="K112" i="4" s="1"/>
  <c r="K105" i="4"/>
  <c r="K106" i="4" s="1"/>
  <c r="K103" i="4"/>
  <c r="K104" i="4" s="1"/>
  <c r="N104" i="4" s="1"/>
  <c r="G104" i="4"/>
  <c r="G103" i="4"/>
  <c r="G108" i="4"/>
  <c r="G107" i="4"/>
  <c r="G102" i="4" l="1"/>
  <c r="N103" i="4"/>
  <c r="N108" i="4"/>
  <c r="N147" i="4"/>
  <c r="G147" i="4"/>
  <c r="G165" i="4" l="1"/>
  <c r="G226" i="4" l="1"/>
  <c r="N89" i="4" l="1"/>
  <c r="J89" i="4"/>
  <c r="N87" i="4"/>
  <c r="J87" i="4"/>
  <c r="C87" i="4"/>
  <c r="N86" i="4"/>
  <c r="J86" i="4"/>
  <c r="N85" i="4"/>
  <c r="J85" i="4"/>
  <c r="C86" i="4" l="1"/>
  <c r="C85" i="4"/>
  <c r="C36" i="4" l="1"/>
  <c r="J36" i="4"/>
  <c r="N36" i="4"/>
  <c r="C38" i="4"/>
  <c r="J38" i="4"/>
  <c r="N38" i="4"/>
  <c r="C40" i="4"/>
  <c r="J40" i="4"/>
  <c r="N40" i="4"/>
  <c r="N110" i="4" l="1"/>
  <c r="G110" i="4"/>
  <c r="N109" i="4"/>
  <c r="G109" i="4"/>
  <c r="N111" i="4"/>
  <c r="G111" i="4"/>
  <c r="N169" i="4"/>
  <c r="G169" i="4"/>
  <c r="N168" i="4"/>
  <c r="G168" i="4"/>
  <c r="N167" i="4"/>
  <c r="G167" i="4"/>
  <c r="N166" i="4"/>
  <c r="G166" i="4"/>
  <c r="N165" i="4"/>
  <c r="C52" i="4" l="1"/>
  <c r="J52" i="4"/>
  <c r="N52" i="4"/>
  <c r="J123" i="4" l="1"/>
  <c r="C31" i="4" l="1"/>
  <c r="N31" i="4"/>
  <c r="C18" i="4"/>
  <c r="H18" i="4"/>
  <c r="J18" i="4"/>
  <c r="N18" i="4"/>
  <c r="N226" i="4" l="1"/>
  <c r="C27" i="4" l="1"/>
  <c r="N27" i="4"/>
  <c r="C28" i="4"/>
  <c r="N28" i="4"/>
  <c r="N150" i="4" l="1"/>
  <c r="G150" i="4"/>
  <c r="G148" i="4" l="1"/>
  <c r="N148" i="4"/>
  <c r="G151" i="4" l="1"/>
  <c r="N151" i="4"/>
  <c r="N112" i="4" l="1"/>
  <c r="G112" i="4"/>
  <c r="C49" i="4" l="1"/>
  <c r="J49" i="4"/>
  <c r="N49" i="4"/>
  <c r="C50" i="4"/>
  <c r="J50" i="4"/>
  <c r="N50" i="4"/>
  <c r="N154" i="4" l="1"/>
  <c r="G154" i="4"/>
  <c r="N149" i="4"/>
  <c r="G149" i="4"/>
  <c r="N146" i="4"/>
  <c r="G146" i="4"/>
  <c r="N140" i="4"/>
  <c r="G140" i="4"/>
  <c r="N139" i="4"/>
  <c r="G139" i="4"/>
  <c r="G138" i="4" l="1"/>
  <c r="G144" i="4"/>
  <c r="G127" i="4" l="1"/>
  <c r="N127" i="4"/>
  <c r="J33" i="4" l="1"/>
  <c r="J42" i="4"/>
  <c r="J43" i="4"/>
  <c r="J44" i="4"/>
  <c r="J45" i="4"/>
  <c r="J46" i="4"/>
  <c r="J47" i="4"/>
  <c r="J48" i="4"/>
  <c r="J62" i="4"/>
  <c r="J63" i="4"/>
  <c r="J64" i="4"/>
  <c r="J65" i="4"/>
  <c r="J66" i="4"/>
  <c r="J67" i="4"/>
  <c r="J68" i="4"/>
  <c r="J70" i="4"/>
  <c r="J163" i="4" s="1"/>
  <c r="J71" i="4"/>
  <c r="J72" i="4"/>
  <c r="J73" i="4"/>
  <c r="J74" i="4"/>
  <c r="J75" i="4"/>
  <c r="J76" i="4"/>
  <c r="J83" i="4"/>
  <c r="J91" i="4"/>
  <c r="J93" i="4"/>
  <c r="J94" i="4"/>
  <c r="J95" i="4"/>
  <c r="J97" i="4"/>
  <c r="J98" i="4"/>
  <c r="J99" i="4"/>
  <c r="J100" i="4"/>
  <c r="G163" i="4" l="1"/>
  <c r="J122" i="4"/>
  <c r="J227" i="4" s="1"/>
  <c r="C19" i="4"/>
  <c r="N19" i="4"/>
  <c r="G162" i="4" l="1"/>
  <c r="N122" i="4"/>
  <c r="G122" i="4"/>
  <c r="G227" i="4" s="1"/>
  <c r="N163" i="4"/>
  <c r="N20" i="4"/>
  <c r="N21" i="4"/>
  <c r="N22" i="4"/>
  <c r="N23" i="4"/>
  <c r="N24" i="4"/>
  <c r="N25" i="4"/>
  <c r="N26" i="4"/>
  <c r="N33" i="4"/>
  <c r="N42" i="4"/>
  <c r="N43" i="4"/>
  <c r="N44" i="4"/>
  <c r="N45" i="4"/>
  <c r="N46" i="4"/>
  <c r="N47" i="4"/>
  <c r="N48" i="4"/>
  <c r="N62" i="4"/>
  <c r="N63" i="4"/>
  <c r="N64" i="4"/>
  <c r="N65" i="4"/>
  <c r="N66" i="4"/>
  <c r="N67" i="4"/>
  <c r="N68" i="4"/>
  <c r="N70" i="4"/>
  <c r="N71" i="4"/>
  <c r="N72" i="4"/>
  <c r="N73" i="4"/>
  <c r="N74" i="4"/>
  <c r="N75" i="4"/>
  <c r="N76" i="4"/>
  <c r="N83" i="4"/>
  <c r="N91" i="4"/>
  <c r="N93" i="4"/>
  <c r="N94" i="4"/>
  <c r="N95" i="4"/>
  <c r="N97" i="4"/>
  <c r="N98" i="4"/>
  <c r="N99" i="4"/>
  <c r="N100" i="4"/>
  <c r="N105" i="4"/>
  <c r="N106" i="4"/>
  <c r="N123" i="4"/>
  <c r="N124" i="4"/>
  <c r="N125" i="4"/>
  <c r="N126" i="4"/>
  <c r="N128" i="4"/>
  <c r="N129" i="4"/>
  <c r="N130" i="4"/>
  <c r="N131" i="4"/>
  <c r="N132" i="4"/>
  <c r="N133" i="4"/>
  <c r="N134" i="4"/>
  <c r="N135" i="4"/>
  <c r="N136" i="4"/>
  <c r="N137" i="4"/>
  <c r="N227" i="4" l="1"/>
  <c r="K231" i="4" s="1"/>
  <c r="D163" i="4"/>
  <c r="D122" i="4"/>
  <c r="I231" i="4" l="1"/>
  <c r="G129" i="4"/>
  <c r="G106" i="4" l="1"/>
  <c r="G133" i="4" l="1"/>
  <c r="G105" i="4" l="1"/>
  <c r="G123" i="4"/>
  <c r="C93" i="4"/>
  <c r="G93" i="4"/>
  <c r="H93" i="4"/>
  <c r="C94" i="4"/>
  <c r="G94" i="4"/>
  <c r="H94" i="4"/>
  <c r="C95" i="4"/>
  <c r="G95" i="4"/>
  <c r="H95" i="4"/>
  <c r="G124" i="4" l="1"/>
  <c r="G125" i="4"/>
  <c r="G126" i="4"/>
  <c r="G128" i="4"/>
  <c r="G130" i="4"/>
  <c r="G131" i="4"/>
  <c r="G132" i="4"/>
  <c r="G134" i="4"/>
  <c r="G135" i="4"/>
  <c r="G136" i="4"/>
  <c r="G137" i="4"/>
  <c r="G121" i="4" l="1"/>
  <c r="C100" i="4"/>
  <c r="G100" i="4"/>
  <c r="H100" i="4"/>
  <c r="C47" i="4" l="1"/>
  <c r="H97" i="4" l="1"/>
  <c r="H98" i="4"/>
  <c r="H99" i="4"/>
  <c r="H227" i="4" l="1"/>
  <c r="G229" i="4" s="1"/>
  <c r="H163" i="4"/>
  <c r="H181" i="4"/>
  <c r="H122" i="4"/>
  <c r="H145" i="4"/>
  <c r="C21" i="4"/>
  <c r="C20" i="4" l="1"/>
  <c r="C22" i="4"/>
  <c r="C23" i="4"/>
  <c r="C24" i="4"/>
  <c r="C25" i="4"/>
  <c r="C26" i="4"/>
  <c r="C33" i="4"/>
  <c r="C34" i="4"/>
  <c r="C42" i="4"/>
  <c r="C43" i="4"/>
  <c r="C44" i="4"/>
  <c r="C45" i="4"/>
  <c r="C46" i="4"/>
  <c r="C48" i="4"/>
  <c r="C62" i="4"/>
  <c r="C63" i="4"/>
  <c r="C64" i="4"/>
  <c r="C65" i="4"/>
  <c r="C66" i="4"/>
  <c r="C67" i="4"/>
  <c r="C68" i="4"/>
  <c r="C70" i="4"/>
  <c r="C71" i="4"/>
  <c r="C72" i="4"/>
  <c r="C73" i="4"/>
  <c r="C74" i="4"/>
  <c r="C75" i="4"/>
  <c r="C76" i="4"/>
  <c r="C83" i="4"/>
  <c r="C91" i="4"/>
  <c r="C97" i="4"/>
  <c r="C98" i="4"/>
  <c r="C99" i="4"/>
  <c r="G91" i="4"/>
  <c r="G97" i="4"/>
  <c r="G98" i="4"/>
  <c r="G99" i="4" l="1"/>
  <c r="I230" i="4" l="1"/>
  <c r="G230" i="4"/>
  <c r="G231" i="4"/>
  <c r="G232" i="4" l="1"/>
  <c r="K230" i="4"/>
</calcChain>
</file>

<file path=xl/sharedStrings.xml><?xml version="1.0" encoding="utf-8"?>
<sst xmlns="http://schemas.openxmlformats.org/spreadsheetml/2006/main" count="615" uniqueCount="404">
  <si>
    <t>Reference</t>
  </si>
  <si>
    <t>Qty</t>
  </si>
  <si>
    <t>Total</t>
  </si>
  <si>
    <t>Colour list</t>
  </si>
  <si>
    <t>C00001</t>
  </si>
  <si>
    <t>C00002</t>
  </si>
  <si>
    <t>C00003</t>
  </si>
  <si>
    <t>C00004</t>
  </si>
  <si>
    <t>C00007</t>
  </si>
  <si>
    <t>C00011</t>
  </si>
  <si>
    <t>C00012</t>
  </si>
  <si>
    <t>C00013</t>
  </si>
  <si>
    <t>C00016</t>
  </si>
  <si>
    <t>C00019</t>
  </si>
  <si>
    <t>C00020</t>
  </si>
  <si>
    <t>C00021</t>
  </si>
  <si>
    <t>C00022</t>
  </si>
  <si>
    <t>C00023</t>
  </si>
  <si>
    <t>T00001</t>
  </si>
  <si>
    <t xml:space="preserve">STANDARD Orange RAL 2003 </t>
  </si>
  <si>
    <t>BASIC Black</t>
  </si>
  <si>
    <t>BASIC Yellow (~ RAL 1018)</t>
  </si>
  <si>
    <t>BASIC Grassy Green (~ RAL 6017)</t>
  </si>
  <si>
    <t>CUSTOM Other</t>
  </si>
  <si>
    <t># holds 
per set</t>
  </si>
  <si>
    <t>STANDARD Yellow RAL 1021</t>
  </si>
  <si>
    <t>STANDARD Yellow Pantone 115C</t>
  </si>
  <si>
    <t>BASIC Red (~Pantone  3517C)</t>
  </si>
  <si>
    <t>BASIC Dark Green (~Pantone 2245 C)</t>
  </si>
  <si>
    <t>Don't know, will discuss by email</t>
  </si>
  <si>
    <t>STANDARD Violet RAL 4008</t>
  </si>
  <si>
    <t>Various colours only</t>
  </si>
  <si>
    <t>D01001</t>
  </si>
  <si>
    <t>C01003</t>
  </si>
  <si>
    <t>STANDARD Purple RAL 4005</t>
  </si>
  <si>
    <t>D01002</t>
  </si>
  <si>
    <t>M00004</t>
  </si>
  <si>
    <t>E00001</t>
  </si>
  <si>
    <t>M00005</t>
  </si>
  <si>
    <t>P00005</t>
  </si>
  <si>
    <t>C00010A</t>
  </si>
  <si>
    <t>C00010B</t>
  </si>
  <si>
    <t>STANDARD Teal RAL 6027</t>
  </si>
  <si>
    <t>Avg price per hold:</t>
  </si>
  <si>
    <t># holds ordered</t>
  </si>
  <si>
    <t># of sets:</t>
  </si>
  <si>
    <t># of holds:</t>
  </si>
  <si>
    <t xml:space="preserve">ORDER SUMMARY: </t>
  </si>
  <si>
    <t xml:space="preserve">Name: </t>
  </si>
  <si>
    <t xml:space="preserve">Company: </t>
  </si>
  <si>
    <t xml:space="preserve">Address Line 1: </t>
  </si>
  <si>
    <t>BASIC Dark Brown (~ RAL 8015)</t>
  </si>
  <si>
    <t>BASIC Light Brown (~ RAL 2013)</t>
  </si>
  <si>
    <t>BASIC Off White  (~RAL 1015)</t>
  </si>
  <si>
    <t>BASIC Natural (~Pantone 7499C)</t>
  </si>
  <si>
    <t>Price AUD
per 
hold</t>
  </si>
  <si>
    <t>Price AUD
(incl. GST)</t>
  </si>
  <si>
    <t>E00002</t>
  </si>
  <si>
    <t>E00003</t>
  </si>
  <si>
    <t>E00004</t>
  </si>
  <si>
    <t>E00005</t>
  </si>
  <si>
    <t>E00006</t>
  </si>
  <si>
    <t>E00008</t>
  </si>
  <si>
    <t>E00009</t>
  </si>
  <si>
    <t>M00002</t>
  </si>
  <si>
    <t>M00003</t>
  </si>
  <si>
    <t>M00006</t>
  </si>
  <si>
    <t>M00008</t>
  </si>
  <si>
    <t>M00009</t>
  </si>
  <si>
    <t>C00005</t>
  </si>
  <si>
    <t>KEY001</t>
  </si>
  <si>
    <t>KEY002</t>
  </si>
  <si>
    <t>RF0001</t>
  </si>
  <si>
    <t>CARDH1</t>
  </si>
  <si>
    <t>HARDWARE</t>
  </si>
  <si>
    <t>#</t>
  </si>
  <si>
    <t>Price 
per item 
AUD</t>
  </si>
  <si>
    <t>38ZPSIT-RND</t>
  </si>
  <si>
    <t>M10ZPSIT-RND</t>
  </si>
  <si>
    <t>1" 1/4 bolt</t>
  </si>
  <si>
    <t>1" 1/2 bolt</t>
  </si>
  <si>
    <t>1" 3/4 bolt</t>
  </si>
  <si>
    <t>2" 1/2 bolt</t>
  </si>
  <si>
    <t>2" bolt</t>
  </si>
  <si>
    <t>3" bolt</t>
  </si>
  <si>
    <t>3" 1/2 bolt</t>
  </si>
  <si>
    <t>4" bolt</t>
  </si>
  <si>
    <t>4" 1/2 bolt</t>
  </si>
  <si>
    <t>5" bolt</t>
  </si>
  <si>
    <t>5" 1/2 bolt</t>
  </si>
  <si>
    <t>3" 1/4 bolt</t>
  </si>
  <si>
    <t>per unit</t>
  </si>
  <si>
    <t>3"3/4 bolt</t>
  </si>
  <si>
    <t>TBC - Indicative price only</t>
  </si>
  <si>
    <t>Yes</t>
  </si>
  <si>
    <t>FITTED BOLTS TO ABOVE HOLD SETS</t>
  </si>
  <si>
    <t>2" 3/4 bolt</t>
  </si>
  <si>
    <t>STANDARD Yellow Pantone 116C</t>
  </si>
  <si>
    <t>Contact details:</t>
  </si>
  <si>
    <t>Local pick up OR delivery?</t>
  </si>
  <si>
    <t>Standard shipping (Australia wide)</t>
  </si>
  <si>
    <t>Answer</t>
  </si>
  <si>
    <t>Local Pick up or delivery?</t>
  </si>
  <si>
    <t>States:</t>
  </si>
  <si>
    <t>ACT</t>
  </si>
  <si>
    <t>NSW</t>
  </si>
  <si>
    <t>NT</t>
  </si>
  <si>
    <t>QLD</t>
  </si>
  <si>
    <t>SA</t>
  </si>
  <si>
    <t>TAS</t>
  </si>
  <si>
    <t>VIC</t>
  </si>
  <si>
    <t>WA</t>
  </si>
  <si>
    <t>C01005</t>
  </si>
  <si>
    <t>PG-HAND1</t>
  </si>
  <si>
    <t>PG-15RG</t>
  </si>
  <si>
    <t>FLUORO Green (Pantone 802C) | +15%</t>
  </si>
  <si>
    <t>Total weight</t>
  </si>
  <si>
    <t>Weight / unit</t>
  </si>
  <si>
    <t>Wall angle</t>
  </si>
  <si>
    <t>EASY | Vertical</t>
  </si>
  <si>
    <t>EASY | 15°</t>
  </si>
  <si>
    <t>EASY | 30°</t>
  </si>
  <si>
    <t>EASY | 40°</t>
  </si>
  <si>
    <t>EASY | 45°</t>
  </si>
  <si>
    <t>MODERATE | Vertical</t>
  </si>
  <si>
    <t>MODERATE | 15°</t>
  </si>
  <si>
    <t>MODERATE | 30°</t>
  </si>
  <si>
    <t>MODERATE | 40°</t>
  </si>
  <si>
    <t>MODERATE | 45°</t>
  </si>
  <si>
    <t>ADVANCED | Vertical</t>
  </si>
  <si>
    <t>ADVANCED | 15°</t>
  </si>
  <si>
    <t>ADVANCED | 30°</t>
  </si>
  <si>
    <t>ADVANCED | 40°</t>
  </si>
  <si>
    <t>ADVANCED | 45°</t>
  </si>
  <si>
    <t>STAY20</t>
  </si>
  <si>
    <t>STAY40</t>
  </si>
  <si>
    <t>STAY60</t>
  </si>
  <si>
    <t>Shipping Estimate:</t>
  </si>
  <si>
    <t>#bolts per set</t>
  </si>
  <si>
    <t>#bolts ordered</t>
  </si>
  <si>
    <t>516TBAR</t>
  </si>
  <si>
    <t>2" 1/4 bolt</t>
  </si>
  <si>
    <t>Options</t>
  </si>
  <si>
    <t>Any colours</t>
  </si>
  <si>
    <t>1" 1/2 flat head</t>
  </si>
  <si>
    <t>1" 1/4 flat head</t>
  </si>
  <si>
    <t>M00010</t>
  </si>
  <si>
    <t>M00011</t>
  </si>
  <si>
    <t>Box of 2000</t>
  </si>
  <si>
    <t>ADVANCED | 35°</t>
  </si>
  <si>
    <t>MODERATE | 35°</t>
  </si>
  <si>
    <t>EASY | 35°</t>
  </si>
  <si>
    <t>Express shipping (Australia wide)</t>
  </si>
  <si>
    <t>Standard:</t>
  </si>
  <si>
    <t>Express:</t>
  </si>
  <si>
    <t xml:space="preserve">TOTAL GOODS: </t>
  </si>
  <si>
    <t>Goods + shipping:</t>
  </si>
  <si>
    <t>Authority to leave at:</t>
  </si>
  <si>
    <t>front door</t>
  </si>
  <si>
    <t>back door</t>
  </si>
  <si>
    <t>side gate</t>
  </si>
  <si>
    <t>carport</t>
  </si>
  <si>
    <t>NO, signature required</t>
  </si>
  <si>
    <t>1"3/4 bolt</t>
  </si>
  <si>
    <t>E00010</t>
  </si>
  <si>
    <t>E00011</t>
  </si>
  <si>
    <t>GARMENT</t>
  </si>
  <si>
    <t>E01001</t>
  </si>
  <si>
    <t>E00012</t>
  </si>
  <si>
    <t>STANDARD Sky Blue RAL 5015</t>
  </si>
  <si>
    <t>M00012</t>
  </si>
  <si>
    <t>G00001</t>
  </si>
  <si>
    <t>G00002</t>
  </si>
  <si>
    <t>G00003</t>
  </si>
  <si>
    <t xml:space="preserve">    T-NUTS</t>
  </si>
  <si>
    <t>PG-FOOT1</t>
  </si>
  <si>
    <t>38SSSIT-RND</t>
  </si>
  <si>
    <t>M10SSSIT-RND</t>
  </si>
  <si>
    <t>38ZPSIT-RECT</t>
  </si>
  <si>
    <t>M10ZPSIT-DMD</t>
  </si>
  <si>
    <t>Zinc</t>
  </si>
  <si>
    <t>Stainless</t>
  </si>
  <si>
    <t>B38ZPSIT-RND</t>
  </si>
  <si>
    <t>BM10ZPSIT-RND</t>
  </si>
  <si>
    <t>B38ZPSIT-RECT</t>
  </si>
  <si>
    <t>BM10ZPSIT-DMD</t>
  </si>
  <si>
    <t xml:space="preserve">    DRILL BITS</t>
  </si>
  <si>
    <t>12DRILLBIT</t>
  </si>
  <si>
    <t>125DRILLBIT</t>
  </si>
  <si>
    <t>12IMPACTBIT</t>
  </si>
  <si>
    <t>125IMPACTBIT</t>
  </si>
  <si>
    <t>M00013</t>
  </si>
  <si>
    <t>C00006</t>
  </si>
  <si>
    <t>STAY100</t>
  </si>
  <si>
    <t>M00014</t>
  </si>
  <si>
    <t>FITTED SCREWS TO ABOVE HOLD SETS</t>
  </si>
  <si>
    <t>40mm bolt</t>
  </si>
  <si>
    <t>45mm bolt</t>
  </si>
  <si>
    <t>50mm bolt</t>
  </si>
  <si>
    <t>55mm bolt</t>
  </si>
  <si>
    <t>60mm bolt</t>
  </si>
  <si>
    <t>65mm bolt</t>
  </si>
  <si>
    <t>RW20 bit</t>
  </si>
  <si>
    <t>#screws per set</t>
  </si>
  <si>
    <t>#screws ordered</t>
  </si>
  <si>
    <t xml:space="preserve"> </t>
  </si>
  <si>
    <t>FREE pick up (Perth metro)</t>
  </si>
  <si>
    <t>STANDARD Signal Blue RAL 5005</t>
  </si>
  <si>
    <t>FLUORO Yellow</t>
  </si>
  <si>
    <t>FLUORO Pink</t>
  </si>
  <si>
    <t>FLUORO Red (Pantone 805C) [out of stock]</t>
  </si>
  <si>
    <t>Box of 500</t>
  </si>
  <si>
    <t>Box of 250</t>
  </si>
  <si>
    <t>Box of 100</t>
  </si>
  <si>
    <t>Box of 200</t>
  </si>
  <si>
    <t>Empty Box weight:</t>
  </si>
  <si>
    <t>Weight per unit:</t>
  </si>
  <si>
    <t>30mm</t>
  </si>
  <si>
    <t>45mm</t>
  </si>
  <si>
    <t>60mm</t>
  </si>
  <si>
    <t>80mm</t>
  </si>
  <si>
    <t>100mm</t>
  </si>
  <si>
    <t>(Limited stock only)</t>
  </si>
  <si>
    <t>T-shirt or Singlet</t>
  </si>
  <si>
    <r>
      <t xml:space="preserve">Email size, </t>
    </r>
    <r>
      <rPr>
        <sz val="11"/>
        <color theme="1"/>
        <rFont val="Times New Roman"/>
        <family val="1"/>
      </rPr>
      <t xml:space="preserve">♀ ♂ </t>
    </r>
    <r>
      <rPr>
        <sz val="11"/>
        <color theme="1"/>
        <rFont val="Calibri"/>
        <family val="2"/>
        <scheme val="minor"/>
      </rPr>
      <t>to remi@tnut.au</t>
    </r>
  </si>
  <si>
    <t xml:space="preserve">Phone: </t>
  </si>
  <si>
    <t xml:space="preserve">Email: </t>
  </si>
  <si>
    <t xml:space="preserve">Address Line 2: </t>
  </si>
  <si>
    <t xml:space="preserve">City/Suburb: </t>
  </si>
  <si>
    <t xml:space="preserve">State: </t>
  </si>
  <si>
    <t xml:space="preserve">Postcode: </t>
  </si>
  <si>
    <t xml:space="preserve">Please select: </t>
  </si>
  <si>
    <t xml:space="preserve">    M10 HIGH TENSILE BLACK BOLTS</t>
  </si>
  <si>
    <t xml:space="preserve">    3/8" HIGH TENSILE BLACK BOLTS (MOST STANDARD IN AUSTRALIA)</t>
  </si>
  <si>
    <t>40mm  bolt</t>
  </si>
  <si>
    <t>45mm  bolt</t>
  </si>
  <si>
    <t>50mm  bolt</t>
  </si>
  <si>
    <t>55mm  bolt</t>
  </si>
  <si>
    <t>60mm  bolt</t>
  </si>
  <si>
    <t>65mm  bolt</t>
  </si>
  <si>
    <t>70mm  bolt</t>
  </si>
  <si>
    <t>80mm  bolt</t>
  </si>
  <si>
    <t>90mm  bolt</t>
  </si>
  <si>
    <t>100mm  bolt</t>
  </si>
  <si>
    <t>110mm  bolt</t>
  </si>
  <si>
    <t>120mm  bolt</t>
  </si>
  <si>
    <t>:# holds | # bolts:</t>
  </si>
  <si>
    <t># screws:</t>
  </si>
  <si>
    <t>STANDARD Jet Black RAL 9005 | +20%</t>
  </si>
  <si>
    <t>BASIC Gold (~ RAL 1005) | +20%</t>
  </si>
  <si>
    <t xml:space="preserve">Special instructions: </t>
  </si>
  <si>
    <t>2" flat head</t>
  </si>
  <si>
    <t>2" 1/2 flat head</t>
  </si>
  <si>
    <t>3" flat head</t>
  </si>
  <si>
    <t>WURSS45-30</t>
  </si>
  <si>
    <t>WURTH40-30</t>
  </si>
  <si>
    <t>WURTH45-45</t>
  </si>
  <si>
    <t>WURTH45-60</t>
  </si>
  <si>
    <t>WURTH45-80</t>
  </si>
  <si>
    <t>WURTH45-100</t>
  </si>
  <si>
    <t>BWURTH40-30</t>
  </si>
  <si>
    <t>BWURTH45-45</t>
  </si>
  <si>
    <t>BWURTH45-60</t>
  </si>
  <si>
    <t>BWURTH45-80</t>
  </si>
  <si>
    <t>BWURTH45-100</t>
  </si>
  <si>
    <t>WURSS45-45</t>
  </si>
  <si>
    <t>WURSS45-60</t>
  </si>
  <si>
    <t>WURSS45-80</t>
  </si>
  <si>
    <t>BWURSS45-30</t>
  </si>
  <si>
    <t>BWURSS45-45</t>
  </si>
  <si>
    <t>BWURSS45-60</t>
  </si>
  <si>
    <t>BWURSS45-80</t>
  </si>
  <si>
    <t>FITTED SS SCREWS TO ABOVE HOLD SETS</t>
  </si>
  <si>
    <t>Full box weight:</t>
  </si>
  <si>
    <t>approx.</t>
  </si>
  <si>
    <r>
      <t xml:space="preserve">per unit </t>
    </r>
    <r>
      <rPr>
        <sz val="11"/>
        <color rgb="FFC00000"/>
        <rFont val="Calibri"/>
        <family val="2"/>
        <scheme val="minor"/>
      </rPr>
      <t>[OUT OF STOCK]</t>
    </r>
  </si>
  <si>
    <r>
      <t xml:space="preserve">Box of 1000 </t>
    </r>
    <r>
      <rPr>
        <sz val="11"/>
        <color rgb="FFC00000"/>
        <rFont val="Calibri"/>
        <family val="2"/>
        <scheme val="minor"/>
      </rPr>
      <t xml:space="preserve"> [OUT OF STOCK]</t>
    </r>
  </si>
  <si>
    <r>
      <t xml:space="preserve">Box of 1000  </t>
    </r>
    <r>
      <rPr>
        <sz val="11"/>
        <color rgb="FFC00000"/>
        <rFont val="Calibri"/>
        <family val="2"/>
        <scheme val="minor"/>
      </rPr>
      <t>[OUT OF STOCK]</t>
    </r>
  </si>
  <si>
    <t>FITTED SS BOLTS TO ABOVE HOLD SETS</t>
  </si>
  <si>
    <t xml:space="preserve">    STANDARD WURTH SCREWS (countersunk milling pocket head - RW20 internal drive required)</t>
  </si>
  <si>
    <t xml:space="preserve">    STAINLESS STEEL WURTH SCREWS (countersunk milling pocket head - RW20 internal drive required)</t>
  </si>
  <si>
    <t xml:space="preserve">    3/8" STAINLESS STEEL Grade 304 BOLTS</t>
  </si>
  <si>
    <t xml:space="preserve">    M10 STAINLESS STEEL Grade 304 BOLTS</t>
  </si>
  <si>
    <t>M00015</t>
  </si>
  <si>
    <t xml:space="preserve">    3/8" HT COUNTERSUNK BLACK BOLTS (not required for any TNUT holds!)</t>
  </si>
  <si>
    <t xml:space="preserve">    3/8" STAINLESS STEEL Grade 304 COUNTERSUNK BOLTS (not required for any TNUT holds!)</t>
  </si>
  <si>
    <t>1"3/4 flat head</t>
  </si>
  <si>
    <t>2" 1/4 flat head</t>
  </si>
  <si>
    <t>M00016</t>
  </si>
  <si>
    <t>35mm bolt</t>
  </si>
  <si>
    <t>75mm bolts</t>
  </si>
  <si>
    <t>80mm bolts</t>
  </si>
  <si>
    <t>90mm bolts</t>
  </si>
  <si>
    <t>100mm bolts</t>
  </si>
  <si>
    <t>120mm bolts</t>
  </si>
  <si>
    <t>G01001</t>
  </si>
  <si>
    <t>M00017</t>
  </si>
  <si>
    <t>M00020</t>
  </si>
  <si>
    <t>M00021</t>
  </si>
  <si>
    <t>C00025</t>
  </si>
  <si>
    <t>STANDARD Grey RAL 7001</t>
  </si>
  <si>
    <t>STANDARD Red RAL 3020</t>
  </si>
  <si>
    <t>STANDARD Green 16-16 or Pantone 7739C</t>
  </si>
  <si>
    <t>STANDARD Pink - Heather Violet RAL 4003</t>
  </si>
  <si>
    <t>110mm bolts</t>
  </si>
  <si>
    <t>140mm bolts</t>
  </si>
  <si>
    <t>160mm bolts</t>
  </si>
  <si>
    <t>FLUORO Orange [out of stock]</t>
  </si>
  <si>
    <t>BASIC Light Red (~ RAL 3028) [low stock only]</t>
  </si>
  <si>
    <t xml:space="preserve">IN-HOUSE Mustard </t>
  </si>
  <si>
    <t>IN-HOUSE Rust</t>
  </si>
  <si>
    <t>IN-HOUSE Mint</t>
  </si>
  <si>
    <t>FLUORO Blue [limited stock]</t>
  </si>
  <si>
    <t>IN-HOUSE Sherbet</t>
  </si>
  <si>
    <t>IN-HOUSE Lavender</t>
  </si>
  <si>
    <t>IN-HOUSE TNUT's Green Pantone 3275C</t>
  </si>
  <si>
    <t>BASIC Light Blue (~ Pantone 2185 C)</t>
  </si>
  <si>
    <t>BASIC Dark Blue</t>
  </si>
  <si>
    <t>G00004</t>
  </si>
  <si>
    <t>C00026</t>
  </si>
  <si>
    <t>M00018</t>
  </si>
  <si>
    <t xml:space="preserve">    FLUSH ANCHORS</t>
  </si>
  <si>
    <t>HZPFA1040</t>
  </si>
  <si>
    <t>HSSFA1040</t>
  </si>
  <si>
    <t xml:space="preserve">    WURTH SCREW BITS (compataible with both stainless &amp; zinc screw types above)</t>
  </si>
  <si>
    <t xml:space="preserve">   ROUTE SETTING ESSENTIALS</t>
  </si>
  <si>
    <t>LONESTAR</t>
  </si>
  <si>
    <t>VOLINSERT</t>
  </si>
  <si>
    <t>2" long</t>
  </si>
  <si>
    <t>3" long</t>
  </si>
  <si>
    <t>E00013</t>
  </si>
  <si>
    <t>E00014</t>
  </si>
  <si>
    <t>516IMPACT2</t>
  </si>
  <si>
    <t>516IMPACT3</t>
  </si>
  <si>
    <t>732IMPACT</t>
  </si>
  <si>
    <t>M00022</t>
  </si>
  <si>
    <t>Names</t>
  </si>
  <si>
    <t>Starting Price AUD</t>
  </si>
  <si>
    <t>DALTON 40°</t>
  </si>
  <si>
    <t>D40</t>
  </si>
  <si>
    <t>DALTON 42.5°</t>
  </si>
  <si>
    <t>D42.5</t>
  </si>
  <si>
    <t>DALTON 45°</t>
  </si>
  <si>
    <t>D45</t>
  </si>
  <si>
    <t>DALTON 47.5°</t>
  </si>
  <si>
    <t>D47.5</t>
  </si>
  <si>
    <t>DALTON 50°</t>
  </si>
  <si>
    <t>D50</t>
  </si>
  <si>
    <t>DALTON 52.5°</t>
  </si>
  <si>
    <t>D52.5</t>
  </si>
  <si>
    <t>DALTON 55°</t>
  </si>
  <si>
    <t>D55</t>
  </si>
  <si>
    <t>DALTON 57.5°</t>
  </si>
  <si>
    <t>D57.5</t>
  </si>
  <si>
    <t>SQTON</t>
  </si>
  <si>
    <t>SQ</t>
  </si>
  <si>
    <t>POINTON 800 SYMMETRICAL</t>
  </si>
  <si>
    <t>P8s</t>
  </si>
  <si>
    <t>POINTON 800 OFFSET</t>
  </si>
  <si>
    <t>P8o</t>
  </si>
  <si>
    <t>POINTON 1200</t>
  </si>
  <si>
    <t>P12</t>
  </si>
  <si>
    <t>JAMTON</t>
  </si>
  <si>
    <t>J</t>
  </si>
  <si>
    <t>BUZZTON</t>
  </si>
  <si>
    <t>BZ</t>
  </si>
  <si>
    <t>VAULTON</t>
  </si>
  <si>
    <t>V</t>
  </si>
  <si>
    <t>TRAPTON</t>
  </si>
  <si>
    <t>TR</t>
  </si>
  <si>
    <t>Ref</t>
  </si>
  <si>
    <t>DALTONS SET OF 8 VOLUMES</t>
  </si>
  <si>
    <t>Ds</t>
  </si>
  <si>
    <t>M10 Zinc Plated screw-in t-nut (round)</t>
  </si>
  <si>
    <t>M10 Stainless Steel screw-in t-nut (round)</t>
  </si>
  <si>
    <t>3/8" Zinc Plated screw-in t-nut (round)</t>
  </si>
  <si>
    <t>3/8" Stainless Steel screw-in t-nut (round)</t>
  </si>
  <si>
    <t>T-nut type:</t>
  </si>
  <si>
    <t>Finish:</t>
  </si>
  <si>
    <t>Durable varnish</t>
  </si>
  <si>
    <t>Durable paint untextured</t>
  </si>
  <si>
    <t>Durable paint textured</t>
  </si>
  <si>
    <t>Insert recess:</t>
  </si>
  <si>
    <t>Narrow insert recess holes (10mm)</t>
  </si>
  <si>
    <t>Standard insert recess holes (12.5mm)</t>
  </si>
  <si>
    <t>Select a finish:</t>
  </si>
  <si>
    <t>Select a t-nut type:</t>
  </si>
  <si>
    <t># of t-nuts</t>
  </si>
  <si>
    <t>SS t-nut extra</t>
  </si>
  <si>
    <t>Finish extra</t>
  </si>
  <si>
    <t>Colour and comment</t>
  </si>
  <si>
    <t>Texture cost breakdown</t>
  </si>
  <si>
    <t># of inserts</t>
  </si>
  <si>
    <t>Narrow insert extra</t>
  </si>
  <si>
    <t xml:space="preserve">Price AUD (incl. GST) with options </t>
  </si>
  <si>
    <t>TOTAL</t>
  </si>
  <si>
    <t>Weight per volume (in grams)</t>
  </si>
  <si>
    <t># of volumes:</t>
  </si>
  <si>
    <t>TBC</t>
  </si>
  <si>
    <t>Weight ordered</t>
  </si>
  <si>
    <t xml:space="preserve">TOTAL: </t>
  </si>
  <si>
    <t>Select recess holes type:</t>
  </si>
  <si>
    <r>
      <t xml:space="preserve">To order volumes, complete your contact details in the TNUT order sheet tab as well as the table below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>. We'll confirm details with you.</t>
    </r>
  </si>
  <si>
    <r>
      <t xml:space="preserve">Complete the order sheet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 xml:space="preserve">. We'll send you the invoice.
                                                                                 </t>
    </r>
    <r>
      <rPr>
        <sz val="13.5"/>
        <color theme="9" tint="-0.249977111117893"/>
        <rFont val="Calibri"/>
        <family val="2"/>
        <scheme val="minor"/>
      </rPr>
      <t>Go to the next TAB to order VOLUMES.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</si>
</sst>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_-[$$-C09]* #,##0.00_-;\-[$$-C09]* #,##0.00_-;_-[$$-C09]* &quot;-&quot;??_-;_-@_-"/>
    <numFmt numFmtId="165" formatCode="&quot;$&quot;#,##0.00"/>
    <numFmt numFmtId="166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0" tint="-0.34998626667073579"/>
      <name val="Calibri"/>
      <scheme val="minor"/>
    </font>
    <font>
      <sz val="11"/>
      <color theme="1"/>
      <name val="Calibri"/>
      <scheme val="minor"/>
    </font>
    <font>
      <sz val="13.5"/>
      <color theme="9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165" fontId="4" fillId="2" borderId="0" xfId="0" applyNumberFormat="1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44" fontId="15" fillId="2" borderId="1" xfId="1" applyFont="1" applyFill="1" applyBorder="1" applyAlignment="1" applyProtection="1">
      <alignment horizontal="right" vertical="center"/>
    </xf>
    <xf numFmtId="165" fontId="15" fillId="2" borderId="1" xfId="0" applyNumberFormat="1" applyFont="1" applyFill="1" applyBorder="1" applyAlignment="1" applyProtection="1">
      <alignment vertical="center"/>
    </xf>
    <xf numFmtId="0" fontId="15" fillId="2" borderId="1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horizontal="center" vertical="center"/>
    </xf>
    <xf numFmtId="6" fontId="15" fillId="2" borderId="1" xfId="1" applyNumberFormat="1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right" vertical="center"/>
    </xf>
    <xf numFmtId="0" fontId="0" fillId="0" borderId="1" xfId="0" applyBorder="1" applyProtection="1"/>
    <xf numFmtId="0" fontId="6" fillId="4" borderId="5" xfId="0" applyFont="1" applyFill="1" applyBorder="1" applyAlignment="1" applyProtection="1">
      <alignment horizontal="center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44" fontId="6" fillId="4" borderId="5" xfId="1" applyFont="1" applyFill="1" applyBorder="1" applyAlignment="1" applyProtection="1">
      <alignment horizontal="right" vertical="center" wrapText="1"/>
    </xf>
    <xf numFmtId="0" fontId="6" fillId="4" borderId="5" xfId="0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center" vertical="center"/>
    </xf>
    <xf numFmtId="164" fontId="3" fillId="5" borderId="0" xfId="0" applyNumberFormat="1" applyFont="1" applyFill="1" applyBorder="1" applyAlignment="1" applyProtection="1">
      <alignment horizontal="center" vertical="center"/>
    </xf>
    <xf numFmtId="44" fontId="0" fillId="5" borderId="0" xfId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 vertical="center"/>
    </xf>
    <xf numFmtId="164" fontId="9" fillId="0" borderId="6" xfId="0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165" fontId="0" fillId="0" borderId="6" xfId="0" applyNumberFormat="1" applyFill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6" fontId="7" fillId="0" borderId="1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Protection="1"/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4" fontId="23" fillId="0" borderId="0" xfId="0" applyNumberFormat="1" applyFont="1" applyFill="1" applyBorder="1" applyAlignment="1" applyProtection="1">
      <alignment horizontal="center" vertical="center"/>
    </xf>
    <xf numFmtId="44" fontId="24" fillId="0" borderId="0" xfId="1" applyFont="1" applyFill="1" applyBorder="1" applyAlignment="1" applyProtection="1">
      <alignment horizontal="right" vertical="center"/>
    </xf>
    <xf numFmtId="0" fontId="6" fillId="11" borderId="1" xfId="0" applyFont="1" applyFill="1" applyBorder="1" applyAlignment="1" applyProtection="1">
      <alignment horizontal="left" vertical="center"/>
    </xf>
    <xf numFmtId="0" fontId="6" fillId="11" borderId="0" xfId="0" applyFont="1" applyFill="1" applyBorder="1" applyAlignment="1" applyProtection="1">
      <alignment horizontal="center" vertical="center"/>
    </xf>
    <xf numFmtId="164" fontId="3" fillId="11" borderId="0" xfId="0" applyNumberFormat="1" applyFont="1" applyFill="1" applyBorder="1" applyAlignment="1" applyProtection="1">
      <alignment horizontal="center" vertical="center"/>
    </xf>
    <xf numFmtId="44" fontId="0" fillId="11" borderId="0" xfId="1" applyFont="1" applyFill="1" applyBorder="1" applyAlignment="1" applyProtection="1">
      <alignment horizontal="right" vertical="center"/>
    </xf>
    <xf numFmtId="0" fontId="6" fillId="11" borderId="0" xfId="0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horizontal="right" vertical="center"/>
    </xf>
    <xf numFmtId="165" fontId="2" fillId="0" borderId="1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vertical="center"/>
    </xf>
    <xf numFmtId="165" fontId="0" fillId="0" borderId="6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left" vertical="center"/>
    </xf>
    <xf numFmtId="0" fontId="6" fillId="9" borderId="0" xfId="0" applyFont="1" applyFill="1" applyBorder="1" applyAlignment="1" applyProtection="1">
      <alignment horizontal="center" vertical="center"/>
    </xf>
    <xf numFmtId="164" fontId="3" fillId="9" borderId="0" xfId="0" applyNumberFormat="1" applyFont="1" applyFill="1" applyBorder="1" applyAlignment="1" applyProtection="1">
      <alignment horizontal="center" vertical="center"/>
    </xf>
    <xf numFmtId="44" fontId="0" fillId="9" borderId="0" xfId="1" applyFont="1" applyFill="1" applyBorder="1" applyAlignment="1" applyProtection="1">
      <alignment horizontal="right" vertical="center"/>
    </xf>
    <xf numFmtId="0" fontId="6" fillId="9" borderId="0" xfId="0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horizontal="right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5" fontId="6" fillId="12" borderId="0" xfId="0" applyNumberFormat="1" applyFont="1" applyFill="1" applyBorder="1" applyAlignment="1" applyProtection="1">
      <alignment vertical="center"/>
    </xf>
    <xf numFmtId="165" fontId="6" fillId="12" borderId="0" xfId="0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/>
    </xf>
    <xf numFmtId="44" fontId="6" fillId="0" borderId="5" xfId="1" applyFont="1" applyFill="1" applyBorder="1" applyAlignment="1" applyProtection="1">
      <alignment horizontal="right" vertical="center"/>
    </xf>
    <xf numFmtId="0" fontId="0" fillId="0" borderId="9" xfId="0" applyFont="1" applyFill="1" applyBorder="1" applyAlignment="1" applyProtection="1">
      <alignment vertical="center"/>
    </xf>
    <xf numFmtId="165" fontId="0" fillId="0" borderId="9" xfId="0" applyNumberFormat="1" applyFont="1" applyFill="1" applyBorder="1" applyAlignment="1" applyProtection="1">
      <alignment vertical="center"/>
    </xf>
    <xf numFmtId="0" fontId="0" fillId="0" borderId="10" xfId="0" applyNumberFormat="1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left" vertical="center"/>
    </xf>
    <xf numFmtId="44" fontId="17" fillId="0" borderId="5" xfId="1" applyFont="1" applyFill="1" applyBorder="1" applyAlignment="1" applyProtection="1">
      <alignment horizontal="right" vertical="center"/>
    </xf>
    <xf numFmtId="164" fontId="22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164" fontId="23" fillId="0" borderId="0" xfId="0" applyNumberFormat="1" applyFont="1" applyFill="1" applyBorder="1" applyAlignment="1" applyProtection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horizontal="right" vertical="center"/>
    </xf>
    <xf numFmtId="0" fontId="0" fillId="0" borderId="10" xfId="0" applyNumberFormat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164" fontId="9" fillId="0" borderId="6" xfId="0" applyNumberFormat="1" applyFont="1" applyFill="1" applyBorder="1" applyAlignment="1" applyProtection="1">
      <alignment horizontal="left" vertical="center"/>
    </xf>
    <xf numFmtId="164" fontId="23" fillId="0" borderId="5" xfId="0" applyNumberFormat="1" applyFont="1" applyFill="1" applyBorder="1" applyAlignment="1" applyProtection="1">
      <alignment horizontal="left" vertical="center"/>
    </xf>
    <xf numFmtId="164" fontId="14" fillId="4" borderId="5" xfId="0" applyNumberFormat="1" applyFont="1" applyFill="1" applyBorder="1" applyAlignment="1" applyProtection="1">
      <alignment horizontal="center" vertical="center" wrapText="1"/>
    </xf>
    <xf numFmtId="0" fontId="6" fillId="4" borderId="5" xfId="0" applyNumberFormat="1" applyFont="1" applyFill="1" applyBorder="1" applyAlignment="1" applyProtection="1">
      <alignment vertical="center"/>
    </xf>
    <xf numFmtId="6" fontId="0" fillId="0" borderId="1" xfId="0" applyNumberFormat="1" applyFont="1" applyFill="1" applyBorder="1" applyAlignment="1" applyProtection="1">
      <alignment horizontal="left" vertical="center" wrapText="1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165" fontId="6" fillId="2" borderId="10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right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horizontal="left" vertical="center"/>
    </xf>
    <xf numFmtId="165" fontId="6" fillId="2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/>
    <xf numFmtId="165" fontId="2" fillId="0" borderId="1" xfId="1" applyNumberFormat="1" applyFont="1" applyBorder="1" applyAlignment="1" applyProtection="1">
      <alignment horizontal="right" vertical="center"/>
    </xf>
    <xf numFmtId="165" fontId="2" fillId="14" borderId="1" xfId="1" applyNumberFormat="1" applyFont="1" applyFill="1" applyBorder="1" applyAlignment="1" applyProtection="1">
      <alignment horizontal="right" vertical="center"/>
    </xf>
    <xf numFmtId="165" fontId="0" fillId="14" borderId="1" xfId="0" applyNumberForma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/>
    </xf>
    <xf numFmtId="0" fontId="4" fillId="12" borderId="0" xfId="0" applyFont="1" applyFill="1" applyAlignment="1" applyProtection="1">
      <alignment horizontal="center" vertical="center" wrapText="1"/>
    </xf>
    <xf numFmtId="165" fontId="4" fillId="12" borderId="0" xfId="0" applyNumberFormat="1" applyFont="1" applyFill="1" applyAlignment="1" applyProtection="1">
      <alignment horizontal="center" vertical="center" wrapText="1"/>
    </xf>
    <xf numFmtId="0" fontId="6" fillId="15" borderId="1" xfId="0" applyFont="1" applyFill="1" applyBorder="1" applyAlignment="1" applyProtection="1">
      <alignment horizontal="left" vertical="center"/>
    </xf>
    <xf numFmtId="0" fontId="6" fillId="15" borderId="0" xfId="0" applyFont="1" applyFill="1" applyBorder="1" applyAlignment="1" applyProtection="1">
      <alignment horizontal="center" vertical="center"/>
    </xf>
    <xf numFmtId="164" fontId="3" fillId="15" borderId="0" xfId="0" applyNumberFormat="1" applyFont="1" applyFill="1" applyBorder="1" applyAlignment="1" applyProtection="1">
      <alignment horizontal="center" vertical="center"/>
    </xf>
    <xf numFmtId="44" fontId="0" fillId="15" borderId="0" xfId="1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vertical="center"/>
    </xf>
    <xf numFmtId="165" fontId="6" fillId="15" borderId="0" xfId="0" applyNumberFormat="1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 wrapText="1"/>
    </xf>
    <xf numFmtId="0" fontId="0" fillId="14" borderId="1" xfId="0" applyFill="1" applyBorder="1" applyAlignment="1" applyProtection="1">
      <alignment horizontal="left" vertical="center"/>
      <protection locked="0"/>
    </xf>
    <xf numFmtId="165" fontId="0" fillId="14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6" fontId="0" fillId="14" borderId="1" xfId="0" applyNumberFormat="1" applyFill="1" applyBorder="1" applyAlignment="1" applyProtection="1">
      <alignment vertical="center"/>
    </xf>
    <xf numFmtId="166" fontId="0" fillId="6" borderId="1" xfId="0" applyNumberFormat="1" applyFill="1" applyBorder="1" applyAlignment="1" applyProtection="1">
      <alignment vertical="center"/>
    </xf>
    <xf numFmtId="165" fontId="0" fillId="0" borderId="5" xfId="0" applyNumberFormat="1" applyBorder="1" applyAlignment="1" applyProtection="1">
      <alignment vertical="center"/>
    </xf>
    <xf numFmtId="166" fontId="0" fillId="6" borderId="5" xfId="0" applyNumberFormat="1" applyFill="1" applyBorder="1" applyAlignment="1" applyProtection="1">
      <alignment vertical="center"/>
    </xf>
    <xf numFmtId="0" fontId="6" fillId="12" borderId="14" xfId="0" applyFont="1" applyFill="1" applyBorder="1" applyAlignment="1" applyProtection="1">
      <alignment horizontal="right" vertical="center"/>
    </xf>
    <xf numFmtId="166" fontId="6" fillId="12" borderId="10" xfId="0" applyNumberFormat="1" applyFont="1" applyFill="1" applyBorder="1" applyAlignment="1" applyProtection="1">
      <alignment horizontal="right" vertical="center"/>
    </xf>
    <xf numFmtId="0" fontId="6" fillId="12" borderId="7" xfId="0" applyFont="1" applyFill="1" applyBorder="1" applyAlignment="1" applyProtection="1">
      <alignment horizontal="right" vertical="center"/>
    </xf>
    <xf numFmtId="166" fontId="6" fillId="12" borderId="8" xfId="0" applyNumberFormat="1" applyFont="1" applyFill="1" applyBorder="1" applyAlignment="1" applyProtection="1">
      <alignment horizontal="right" vertical="center"/>
    </xf>
    <xf numFmtId="0" fontId="6" fillId="12" borderId="4" xfId="0" applyFont="1" applyFill="1" applyBorder="1" applyAlignment="1" applyProtection="1">
      <alignment horizontal="right" vertical="center"/>
    </xf>
    <xf numFmtId="1" fontId="6" fillId="12" borderId="3" xfId="0" applyNumberFormat="1" applyFont="1" applyFill="1" applyBorder="1" applyAlignment="1" applyProtection="1">
      <alignment horizontal="right" vertical="center"/>
    </xf>
    <xf numFmtId="0" fontId="0" fillId="14" borderId="1" xfId="0" applyFill="1" applyBorder="1" applyAlignment="1" applyProtection="1">
      <alignment vertical="center"/>
    </xf>
    <xf numFmtId="0" fontId="0" fillId="14" borderId="1" xfId="0" applyFill="1" applyBorder="1" applyAlignment="1" applyProtection="1">
      <alignment horizontal="center" vertical="center"/>
    </xf>
    <xf numFmtId="166" fontId="0" fillId="14" borderId="1" xfId="0" applyNumberFormat="1" applyFill="1" applyBorder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</xf>
    <xf numFmtId="0" fontId="0" fillId="12" borderId="15" xfId="0" applyFill="1" applyBorder="1" applyProtection="1"/>
    <xf numFmtId="0" fontId="0" fillId="12" borderId="2" xfId="0" applyFill="1" applyBorder="1" applyProtection="1"/>
    <xf numFmtId="0" fontId="0" fillId="12" borderId="11" xfId="0" applyFill="1" applyBorder="1" applyProtection="1"/>
    <xf numFmtId="166" fontId="1" fillId="14" borderId="1" xfId="1" applyNumberFormat="1" applyFont="1" applyFill="1" applyBorder="1" applyAlignment="1" applyProtection="1">
      <alignment horizontal="left" vertical="center"/>
      <protection locked="0"/>
    </xf>
    <xf numFmtId="166" fontId="1" fillId="0" borderId="1" xfId="1" applyNumberFormat="1" applyFont="1" applyBorder="1" applyAlignment="1" applyProtection="1">
      <alignment horizontal="left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0" fontId="4" fillId="13" borderId="13" xfId="0" applyFont="1" applyFill="1" applyBorder="1" applyAlignment="1" applyProtection="1">
      <alignment horizontal="center" vertical="center"/>
    </xf>
    <xf numFmtId="0" fontId="4" fillId="13" borderId="7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right" vertical="center"/>
    </xf>
    <xf numFmtId="0" fontId="0" fillId="3" borderId="3" xfId="0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right" vertical="center"/>
    </xf>
    <xf numFmtId="0" fontId="0" fillId="8" borderId="2" xfId="0" applyFont="1" applyFill="1" applyBorder="1" applyAlignment="1" applyProtection="1">
      <alignment horizontal="right" vertical="center"/>
    </xf>
    <xf numFmtId="0" fontId="0" fillId="8" borderId="3" xfId="0" applyFont="1" applyFill="1" applyBorder="1" applyAlignment="1" applyProtection="1">
      <alignment horizontal="right" vertical="center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0" fillId="10" borderId="14" xfId="0" applyFont="1" applyFill="1" applyBorder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/>
    </xf>
    <xf numFmtId="0" fontId="0" fillId="6" borderId="2" xfId="0" applyFont="1" applyFill="1" applyBorder="1" applyAlignment="1" applyProtection="1">
      <alignment horizontal="right" vertical="center"/>
    </xf>
    <xf numFmtId="0" fontId="0" fillId="6" borderId="3" xfId="0" applyFont="1" applyFill="1" applyBorder="1" applyAlignment="1" applyProtection="1">
      <alignment horizontal="right" vertical="center"/>
    </xf>
    <xf numFmtId="0" fontId="0" fillId="6" borderId="2" xfId="0" applyFont="1" applyFill="1" applyBorder="1" applyAlignment="1" applyProtection="1">
      <alignment horizontal="left" vertical="center"/>
      <protection locked="0"/>
    </xf>
    <xf numFmtId="0" fontId="0" fillId="6" borderId="4" xfId="0" applyFont="1" applyFill="1" applyBorder="1" applyAlignment="1" applyProtection="1">
      <alignment horizontal="left" vertical="center"/>
      <protection locked="0"/>
    </xf>
    <xf numFmtId="0" fontId="0" fillId="6" borderId="3" xfId="0" applyFont="1" applyFill="1" applyBorder="1" applyAlignment="1" applyProtection="1">
      <alignment horizontal="left" vertical="center"/>
      <protection locked="0"/>
    </xf>
    <xf numFmtId="0" fontId="4" fillId="13" borderId="12" xfId="0" applyFont="1" applyFill="1" applyBorder="1" applyAlignment="1" applyProtection="1">
      <alignment horizontal="center" vertical="center"/>
    </xf>
    <xf numFmtId="0" fontId="4" fillId="13" borderId="0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right" vertical="center"/>
    </xf>
    <xf numFmtId="0" fontId="10" fillId="10" borderId="14" xfId="0" applyFont="1" applyFill="1" applyBorder="1" applyAlignment="1" applyProtection="1">
      <alignment horizontal="left" vertical="center"/>
    </xf>
    <xf numFmtId="0" fontId="10" fillId="10" borderId="0" xfId="0" applyFont="1" applyFill="1" applyAlignment="1" applyProtection="1">
      <alignment horizontal="left" vertical="center"/>
    </xf>
    <xf numFmtId="0" fontId="10" fillId="10" borderId="14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16"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0" formatCode="General"/>
      <protection locked="1" hidden="0"/>
    </dxf>
    <dxf>
      <protection locked="1" hidden="0"/>
    </dxf>
    <dxf>
      <alignment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165" formatCode="&quot;$&quot;#,##0.00"/>
      <alignment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164" formatCode="_-[$$-C09]* #,##0.00_-;\-[$$-C09]* #,##0.00_-;_-[$$-C09]* &quot;-&quot;??_-;_-@_-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33CC33"/>
      <color rgb="FFD3E2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3" displayName="Table13" ref="A17:N227" totalsRowShown="0" headerRowDxfId="15" dataDxfId="14">
  <tableColumns count="14">
    <tableColumn id="1" name="Reference" dataDxfId="13"/>
    <tableColumn id="2" name="# holds _x000a_per set" dataDxfId="12"/>
    <tableColumn id="3" name="Price AUD_x000a_per _x000a_hold" dataDxfId="11">
      <calculatedColumnFormula>Table13[[#This Row],[Price AUD
(incl. GST)]]/Table13[[#This Row],['# holds 
per set]]</calculatedColumnFormula>
    </tableColumn>
    <tableColumn id="4" name="Price AUD_x000a_(incl. GST)" dataDxfId="10" dataCellStyle="Currency"/>
    <tableColumn id="5" name="Qty" dataDxfId="9"/>
    <tableColumn id="6" name="Options" dataDxfId="8"/>
    <tableColumn id="7" name="Total" dataDxfId="7">
      <calculatedColumnFormula>E18*D18</calculatedColumnFormula>
    </tableColumn>
    <tableColumn id="8" name="# holds ordered" dataDxfId="6">
      <calculatedColumnFormula>Table13[[#This Row],['# holds 
per set]]*Table13[[#This Row],[Qty]]</calculatedColumnFormula>
    </tableColumn>
    <tableColumn id="11" name="#bolts per set" dataDxfId="5"/>
    <tableColumn id="12" name="#bolts ordered" dataDxfId="4">
      <calculatedColumnFormula>Table13[[#This Row],[Qty]]*Table13[[#This Row],['#bolts per set]]</calculatedColumnFormula>
    </tableColumn>
    <tableColumn id="9" name="Weight / unit" dataDxfId="3"/>
    <tableColumn id="15" name="#screws per set" dataDxfId="2"/>
    <tableColumn id="14" name="#screws ordered" dataDxfId="1">
      <calculatedColumnFormula>Table13[[#This Row],[Qty]]*Table13[[#This Row],['#screws per set]]</calculatedColumnFormula>
    </tableColumn>
    <tableColumn id="10" name="Total weight" dataDxfId="0">
      <calculatedColumnFormula>Table13[[#This Row],[Qty]]*Table13[[#This Row],[Weight / unit]]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tabSelected="1" zoomScaleNormal="100" workbookViewId="0">
      <selection activeCell="C2" sqref="C2:G2"/>
    </sheetView>
  </sheetViews>
  <sheetFormatPr defaultColWidth="9.1796875" defaultRowHeight="14.5" x14ac:dyDescent="0.35"/>
  <cols>
    <col min="1" max="1" width="16.453125" style="154" customWidth="1"/>
    <col min="2" max="2" width="9.453125" style="154" customWidth="1"/>
    <col min="3" max="3" width="10" style="154" customWidth="1"/>
    <col min="4" max="4" width="10.1796875" style="3" customWidth="1"/>
    <col min="5" max="5" width="6.7265625" style="154" customWidth="1"/>
    <col min="6" max="6" width="32.54296875" style="3" customWidth="1"/>
    <col min="7" max="7" width="14.81640625" style="155" customWidth="1"/>
    <col min="8" max="8" width="18.08984375" style="3" hidden="1" customWidth="1"/>
    <col min="9" max="9" width="15.6328125" style="3" hidden="1" customWidth="1"/>
    <col min="10" max="10" width="13.453125" style="3" hidden="1" customWidth="1"/>
    <col min="11" max="11" width="12.90625" style="3" hidden="1" customWidth="1"/>
    <col min="12" max="12" width="7.81640625" style="3" hidden="1" customWidth="1"/>
    <col min="13" max="13" width="6.453125" style="3" hidden="1" customWidth="1"/>
    <col min="14" max="14" width="16.6328125" style="3" hidden="1" customWidth="1"/>
    <col min="15" max="15" width="5.81640625" style="3" customWidth="1"/>
    <col min="16" max="16" width="31" style="3" customWidth="1"/>
    <col min="17" max="17" width="44.453125" style="3" customWidth="1"/>
    <col min="18" max="16384" width="9.1796875" style="3"/>
  </cols>
  <sheetData>
    <row r="1" spans="1:7" ht="22.5" customHeight="1" x14ac:dyDescent="0.35">
      <c r="A1" s="207" t="s">
        <v>98</v>
      </c>
      <c r="B1" s="208"/>
      <c r="C1" s="208"/>
      <c r="D1" s="208"/>
      <c r="E1" s="208"/>
      <c r="F1" s="208"/>
      <c r="G1" s="208"/>
    </row>
    <row r="2" spans="1:7" ht="22.5" customHeight="1" x14ac:dyDescent="0.35">
      <c r="A2" s="209" t="s">
        <v>48</v>
      </c>
      <c r="B2" s="210"/>
      <c r="C2" s="215"/>
      <c r="D2" s="216"/>
      <c r="E2" s="216"/>
      <c r="F2" s="216"/>
      <c r="G2" s="217"/>
    </row>
    <row r="3" spans="1:7" ht="22.5" customHeight="1" x14ac:dyDescent="0.35">
      <c r="A3" s="211" t="s">
        <v>49</v>
      </c>
      <c r="B3" s="212"/>
      <c r="C3" s="218"/>
      <c r="D3" s="219"/>
      <c r="E3" s="219"/>
      <c r="F3" s="219"/>
      <c r="G3" s="220"/>
    </row>
    <row r="4" spans="1:7" ht="22.5" customHeight="1" x14ac:dyDescent="0.35">
      <c r="A4" s="209" t="s">
        <v>225</v>
      </c>
      <c r="B4" s="210"/>
      <c r="C4" s="215"/>
      <c r="D4" s="216"/>
      <c r="E4" s="216"/>
      <c r="F4" s="216"/>
      <c r="G4" s="217"/>
    </row>
    <row r="5" spans="1:7" ht="22.5" customHeight="1" x14ac:dyDescent="0.35">
      <c r="A5" s="213" t="s">
        <v>226</v>
      </c>
      <c r="B5" s="214"/>
      <c r="C5" s="218"/>
      <c r="D5" s="219"/>
      <c r="E5" s="219"/>
      <c r="F5" s="219"/>
      <c r="G5" s="220"/>
    </row>
    <row r="6" spans="1:7" ht="22.5" customHeight="1" x14ac:dyDescent="0.35">
      <c r="A6" s="209" t="s">
        <v>50</v>
      </c>
      <c r="B6" s="210"/>
      <c r="C6" s="215"/>
      <c r="D6" s="216"/>
      <c r="E6" s="216"/>
      <c r="F6" s="216"/>
      <c r="G6" s="217"/>
    </row>
    <row r="7" spans="1:7" ht="22.5" customHeight="1" x14ac:dyDescent="0.35">
      <c r="A7" s="223" t="s">
        <v>227</v>
      </c>
      <c r="B7" s="224"/>
      <c r="C7" s="225"/>
      <c r="D7" s="226"/>
      <c r="E7" s="226"/>
      <c r="F7" s="226"/>
      <c r="G7" s="227"/>
    </row>
    <row r="8" spans="1:7" ht="22.5" customHeight="1" x14ac:dyDescent="0.35">
      <c r="A8" s="209" t="s">
        <v>228</v>
      </c>
      <c r="B8" s="210"/>
      <c r="C8" s="215"/>
      <c r="D8" s="216"/>
      <c r="E8" s="216"/>
      <c r="F8" s="216"/>
      <c r="G8" s="217"/>
    </row>
    <row r="9" spans="1:7" ht="22.5" customHeight="1" x14ac:dyDescent="0.35">
      <c r="A9" s="223" t="s">
        <v>229</v>
      </c>
      <c r="B9" s="224"/>
      <c r="C9" s="225"/>
      <c r="D9" s="226"/>
      <c r="E9" s="226"/>
      <c r="F9" s="226"/>
      <c r="G9" s="227"/>
    </row>
    <row r="10" spans="1:7" ht="22.5" customHeight="1" x14ac:dyDescent="0.25">
      <c r="A10" s="209" t="s">
        <v>230</v>
      </c>
      <c r="B10" s="210"/>
      <c r="C10" s="215"/>
      <c r="D10" s="216"/>
      <c r="E10" s="216"/>
      <c r="F10" s="216"/>
      <c r="G10" s="217"/>
    </row>
    <row r="11" spans="1:7" ht="22.5" customHeight="1" x14ac:dyDescent="0.25">
      <c r="A11" s="209" t="s">
        <v>250</v>
      </c>
      <c r="B11" s="210"/>
      <c r="C11" s="215"/>
      <c r="D11" s="216"/>
      <c r="E11" s="216"/>
      <c r="F11" s="216"/>
      <c r="G11" s="217"/>
    </row>
    <row r="12" spans="1:7" ht="22.5" customHeight="1" x14ac:dyDescent="0.35">
      <c r="A12" s="228" t="s">
        <v>99</v>
      </c>
      <c r="B12" s="229"/>
      <c r="C12" s="229"/>
      <c r="D12" s="229"/>
      <c r="E12" s="229"/>
      <c r="F12" s="229"/>
      <c r="G12" s="229"/>
    </row>
    <row r="13" spans="1:7" ht="22.5" customHeight="1" x14ac:dyDescent="0.35">
      <c r="A13" s="230" t="s">
        <v>231</v>
      </c>
      <c r="B13" s="230"/>
      <c r="C13" s="215" t="s">
        <v>100</v>
      </c>
      <c r="D13" s="216"/>
      <c r="E13" s="216"/>
      <c r="F13" s="216"/>
      <c r="G13" s="217"/>
    </row>
    <row r="14" spans="1:7" ht="20" customHeight="1" x14ac:dyDescent="0.35">
      <c r="A14" s="233" t="s">
        <v>403</v>
      </c>
      <c r="B14" s="221"/>
      <c r="C14" s="221"/>
      <c r="D14" s="221"/>
      <c r="E14" s="221"/>
      <c r="F14" s="221"/>
      <c r="G14" s="221"/>
    </row>
    <row r="15" spans="1:7" ht="20" customHeight="1" x14ac:dyDescent="0.35">
      <c r="A15" s="222"/>
      <c r="B15" s="222"/>
      <c r="C15" s="222"/>
      <c r="D15" s="222"/>
      <c r="E15" s="222"/>
      <c r="F15" s="222"/>
      <c r="G15" s="222"/>
    </row>
    <row r="16" spans="1:7" ht="20" customHeight="1" x14ac:dyDescent="0.35">
      <c r="A16" s="222"/>
      <c r="B16" s="222"/>
      <c r="C16" s="222"/>
      <c r="D16" s="222"/>
      <c r="E16" s="222"/>
      <c r="F16" s="222"/>
      <c r="G16" s="222"/>
    </row>
    <row r="17" spans="1:14" s="9" customFormat="1" ht="66.75" customHeight="1" x14ac:dyDescent="0.35">
      <c r="A17" s="4" t="s">
        <v>0</v>
      </c>
      <c r="B17" s="5" t="s">
        <v>24</v>
      </c>
      <c r="C17" s="5" t="s">
        <v>55</v>
      </c>
      <c r="D17" s="5" t="s">
        <v>56</v>
      </c>
      <c r="E17" s="4" t="s">
        <v>1</v>
      </c>
      <c r="F17" s="6" t="s">
        <v>142</v>
      </c>
      <c r="G17" s="7" t="s">
        <v>2</v>
      </c>
      <c r="H17" s="6" t="s">
        <v>44</v>
      </c>
      <c r="I17" s="6" t="s">
        <v>138</v>
      </c>
      <c r="J17" s="6" t="s">
        <v>139</v>
      </c>
      <c r="K17" s="8" t="s">
        <v>117</v>
      </c>
      <c r="L17" s="6" t="s">
        <v>203</v>
      </c>
      <c r="M17" s="6" t="s">
        <v>204</v>
      </c>
      <c r="N17" s="8" t="s">
        <v>116</v>
      </c>
    </row>
    <row r="18" spans="1:14" s="9" customFormat="1" ht="20" customHeight="1" x14ac:dyDescent="0.35">
      <c r="A18" s="10" t="s">
        <v>167</v>
      </c>
      <c r="B18" s="11">
        <v>8</v>
      </c>
      <c r="C18" s="12">
        <f>Table13[[#This Row],[Price AUD
(incl. GST)]]/Table13[[#This Row],['# holds 
per set]]</f>
        <v>268</v>
      </c>
      <c r="D18" s="13">
        <v>2144</v>
      </c>
      <c r="E18" s="156"/>
      <c r="F18" s="157"/>
      <c r="G18" s="15">
        <f>E18*D18</f>
        <v>0</v>
      </c>
      <c r="H18" s="16">
        <f>Table13[[#This Row],['# holds 
per set]]*Table13[[#This Row],[Qty]]</f>
        <v>0</v>
      </c>
      <c r="I18" s="17">
        <v>8</v>
      </c>
      <c r="J18" s="17">
        <f>Table13[[#This Row],[Qty]]*Table13[[#This Row],['#bolts per set]]</f>
        <v>0</v>
      </c>
      <c r="K18" s="18">
        <v>18635</v>
      </c>
      <c r="L18" s="19">
        <v>32</v>
      </c>
      <c r="M18" s="18">
        <f>Table13[[#This Row],[Qty]]*Table13[[#This Row],['#screws per set]]</f>
        <v>0</v>
      </c>
      <c r="N18" s="17">
        <f>Table13[[#This Row],[Qty]]*Table13[[#This Row],[Weight / unit]]</f>
        <v>0</v>
      </c>
    </row>
    <row r="19" spans="1:14" s="9" customFormat="1" ht="20" customHeight="1" x14ac:dyDescent="0.35">
      <c r="A19" s="14" t="s">
        <v>37</v>
      </c>
      <c r="B19" s="11">
        <v>8</v>
      </c>
      <c r="C19" s="20">
        <f>Table13[[#This Row],[Price AUD
(incl. GST)]]/Table13[[#This Row],['# holds 
per set]]</f>
        <v>85.375</v>
      </c>
      <c r="D19" s="13">
        <v>683</v>
      </c>
      <c r="E19" s="156"/>
      <c r="F19" s="157"/>
      <c r="G19" s="15">
        <f t="shared" ref="G19:G31" si="0">E19*D19</f>
        <v>0</v>
      </c>
      <c r="H19" s="16">
        <f>Table13[[#This Row],['# holds 
per set]]*Table13[[#This Row],[Qty]]</f>
        <v>0</v>
      </c>
      <c r="I19" s="18">
        <v>8</v>
      </c>
      <c r="J19" s="17">
        <f>Table13[[#This Row],[Qty]]*Table13[[#This Row],['#bolts per set]]</f>
        <v>0</v>
      </c>
      <c r="K19" s="18">
        <v>5935</v>
      </c>
      <c r="L19" s="19">
        <v>8</v>
      </c>
      <c r="M19" s="18">
        <f>Table13[[#This Row],[Qty]]*Table13[[#This Row],['#screws per set]]</f>
        <v>0</v>
      </c>
      <c r="N19" s="18">
        <f>Table13[[#This Row],[Qty]]*Table13[[#This Row],[Weight / unit]]</f>
        <v>0</v>
      </c>
    </row>
    <row r="20" spans="1:14" s="9" customFormat="1" ht="20" customHeight="1" x14ac:dyDescent="0.35">
      <c r="A20" s="14" t="s">
        <v>57</v>
      </c>
      <c r="B20" s="11">
        <v>8</v>
      </c>
      <c r="C20" s="20">
        <f>Table13[[#This Row],[Price AUD
(incl. GST)]]/Table13[[#This Row],['# holds 
per set]]</f>
        <v>76.25</v>
      </c>
      <c r="D20" s="13">
        <v>610</v>
      </c>
      <c r="E20" s="156"/>
      <c r="F20" s="157"/>
      <c r="G20" s="15">
        <f t="shared" si="0"/>
        <v>0</v>
      </c>
      <c r="H20" s="16">
        <f>Table13[[#This Row],['# holds 
per set]]*Table13[[#This Row],[Qty]]</f>
        <v>0</v>
      </c>
      <c r="I20" s="18">
        <v>8</v>
      </c>
      <c r="J20" s="17">
        <f>Table13[[#This Row],[Qty]]*Table13[[#This Row],['#bolts per set]]</f>
        <v>0</v>
      </c>
      <c r="K20" s="18">
        <v>5300</v>
      </c>
      <c r="L20" s="19">
        <v>9</v>
      </c>
      <c r="M20" s="18">
        <f>Table13[[#This Row],[Qty]]*Table13[[#This Row],['#screws per set]]</f>
        <v>0</v>
      </c>
      <c r="N20" s="18">
        <f>Table13[[#This Row],[Qty]]*Table13[[#This Row],[Weight / unit]]</f>
        <v>0</v>
      </c>
    </row>
    <row r="21" spans="1:14" s="9" customFormat="1" ht="20" customHeight="1" x14ac:dyDescent="0.35">
      <c r="A21" s="14" t="s">
        <v>58</v>
      </c>
      <c r="B21" s="11">
        <v>1</v>
      </c>
      <c r="C21" s="21">
        <f>Table13[[#This Row],[Price AUD
(incl. GST)]]/Table13[[#This Row],['# holds 
per set]]</f>
        <v>72</v>
      </c>
      <c r="D21" s="13">
        <v>72</v>
      </c>
      <c r="E21" s="156"/>
      <c r="F21" s="157"/>
      <c r="G21" s="15">
        <f t="shared" si="0"/>
        <v>0</v>
      </c>
      <c r="H21" s="16">
        <f>Table13[[#This Row],['# holds 
per set]]*Table13[[#This Row],[Qty]]</f>
        <v>0</v>
      </c>
      <c r="I21" s="18">
        <v>1</v>
      </c>
      <c r="J21" s="17">
        <f>Table13[[#This Row],[Qty]]*Table13[[#This Row],['#bolts per set]]</f>
        <v>0</v>
      </c>
      <c r="K21" s="18">
        <v>625</v>
      </c>
      <c r="L21" s="19">
        <v>1</v>
      </c>
      <c r="M21" s="18">
        <f>Table13[[#This Row],[Qty]]*Table13[[#This Row],['#screws per set]]</f>
        <v>0</v>
      </c>
      <c r="N21" s="18">
        <f>Table13[[#This Row],[Qty]]*Table13[[#This Row],[Weight / unit]]</f>
        <v>0</v>
      </c>
    </row>
    <row r="22" spans="1:14" s="9" customFormat="1" ht="20" customHeight="1" x14ac:dyDescent="0.35">
      <c r="A22" s="14" t="s">
        <v>59</v>
      </c>
      <c r="B22" s="11">
        <v>8</v>
      </c>
      <c r="C22" s="20">
        <f>Table13[[#This Row],[Price AUD
(incl. GST)]]/Table13[[#This Row],['# holds 
per set]]</f>
        <v>24.125</v>
      </c>
      <c r="D22" s="13">
        <v>193</v>
      </c>
      <c r="E22" s="156"/>
      <c r="F22" s="157"/>
      <c r="G22" s="15">
        <f t="shared" si="0"/>
        <v>0</v>
      </c>
      <c r="H22" s="16">
        <f>Table13[[#This Row],['# holds 
per set]]*Table13[[#This Row],[Qty]]</f>
        <v>0</v>
      </c>
      <c r="I22" s="18">
        <v>8</v>
      </c>
      <c r="J22" s="17">
        <f>Table13[[#This Row],[Qty]]*Table13[[#This Row],['#bolts per set]]</f>
        <v>0</v>
      </c>
      <c r="K22" s="18">
        <v>1675</v>
      </c>
      <c r="L22" s="19">
        <v>8</v>
      </c>
      <c r="M22" s="18">
        <f>Table13[[#This Row],[Qty]]*Table13[[#This Row],['#screws per set]]</f>
        <v>0</v>
      </c>
      <c r="N22" s="18">
        <f>Table13[[#This Row],[Qty]]*Table13[[#This Row],[Weight / unit]]</f>
        <v>0</v>
      </c>
    </row>
    <row r="23" spans="1:14" s="9" customFormat="1" ht="20" customHeight="1" x14ac:dyDescent="0.35">
      <c r="A23" s="14" t="s">
        <v>60</v>
      </c>
      <c r="B23" s="11">
        <v>8</v>
      </c>
      <c r="C23" s="20">
        <f>Table13[[#This Row],[Price AUD
(incl. GST)]]/Table13[[#This Row],['# holds 
per set]]</f>
        <v>23</v>
      </c>
      <c r="D23" s="13">
        <v>184</v>
      </c>
      <c r="E23" s="156"/>
      <c r="F23" s="157"/>
      <c r="G23" s="15">
        <f t="shared" si="0"/>
        <v>0</v>
      </c>
      <c r="H23" s="16">
        <f>Table13[[#This Row],['# holds 
per set]]*Table13[[#This Row],[Qty]]</f>
        <v>0</v>
      </c>
      <c r="I23" s="18">
        <v>8</v>
      </c>
      <c r="J23" s="17">
        <f>Table13[[#This Row],[Qty]]*Table13[[#This Row],['#bolts per set]]</f>
        <v>0</v>
      </c>
      <c r="K23" s="18">
        <v>1600</v>
      </c>
      <c r="L23" s="19">
        <v>8</v>
      </c>
      <c r="M23" s="18">
        <f>Table13[[#This Row],[Qty]]*Table13[[#This Row],['#screws per set]]</f>
        <v>0</v>
      </c>
      <c r="N23" s="18">
        <f>Table13[[#This Row],[Qty]]*Table13[[#This Row],[Weight / unit]]</f>
        <v>0</v>
      </c>
    </row>
    <row r="24" spans="1:14" s="9" customFormat="1" ht="20" customHeight="1" x14ac:dyDescent="0.35">
      <c r="A24" s="14" t="s">
        <v>61</v>
      </c>
      <c r="B24" s="11">
        <v>8</v>
      </c>
      <c r="C24" s="22">
        <f>Table13[[#This Row],[Price AUD
(incl. GST)]]/Table13[[#This Row],['# holds 
per set]]</f>
        <v>12.75</v>
      </c>
      <c r="D24" s="13">
        <v>102</v>
      </c>
      <c r="E24" s="156"/>
      <c r="F24" s="157"/>
      <c r="G24" s="15">
        <f t="shared" si="0"/>
        <v>0</v>
      </c>
      <c r="H24" s="16">
        <f>Table13[[#This Row],['# holds 
per set]]*Table13[[#This Row],[Qty]]</f>
        <v>0</v>
      </c>
      <c r="I24" s="18">
        <v>8</v>
      </c>
      <c r="J24" s="17">
        <f>Table13[[#This Row],[Qty]]*Table13[[#This Row],['#bolts per set]]</f>
        <v>0</v>
      </c>
      <c r="K24" s="18">
        <v>885</v>
      </c>
      <c r="L24" s="19">
        <v>8</v>
      </c>
      <c r="M24" s="18">
        <f>Table13[[#This Row],[Qty]]*Table13[[#This Row],['#screws per set]]</f>
        <v>0</v>
      </c>
      <c r="N24" s="18">
        <f>Table13[[#This Row],[Qty]]*Table13[[#This Row],[Weight / unit]]</f>
        <v>0</v>
      </c>
    </row>
    <row r="25" spans="1:14" s="9" customFormat="1" ht="20" customHeight="1" x14ac:dyDescent="0.35">
      <c r="A25" s="14" t="s">
        <v>62</v>
      </c>
      <c r="B25" s="11">
        <v>12</v>
      </c>
      <c r="C25" s="22">
        <f>Table13[[#This Row],[Price AUD
(incl. GST)]]/Table13[[#This Row],['# holds 
per set]]</f>
        <v>7.25</v>
      </c>
      <c r="D25" s="13">
        <v>87</v>
      </c>
      <c r="E25" s="156"/>
      <c r="F25" s="157"/>
      <c r="G25" s="15">
        <f t="shared" si="0"/>
        <v>0</v>
      </c>
      <c r="H25" s="16">
        <f>Table13[[#This Row],['# holds 
per set]]*Table13[[#This Row],[Qty]]</f>
        <v>0</v>
      </c>
      <c r="I25" s="18">
        <v>12</v>
      </c>
      <c r="J25" s="17">
        <f>Table13[[#This Row],[Qty]]*Table13[[#This Row],['#bolts per set]]</f>
        <v>0</v>
      </c>
      <c r="K25" s="18">
        <v>755</v>
      </c>
      <c r="L25" s="19">
        <v>24</v>
      </c>
      <c r="M25" s="18">
        <f>Table13[[#This Row],[Qty]]*Table13[[#This Row],['#screws per set]]</f>
        <v>0</v>
      </c>
      <c r="N25" s="18">
        <f>Table13[[#This Row],[Qty]]*Table13[[#This Row],[Weight / unit]]</f>
        <v>0</v>
      </c>
    </row>
    <row r="26" spans="1:14" s="9" customFormat="1" ht="20" customHeight="1" x14ac:dyDescent="0.35">
      <c r="A26" s="14" t="s">
        <v>63</v>
      </c>
      <c r="B26" s="11">
        <v>12</v>
      </c>
      <c r="C26" s="20">
        <f>Table13[[#This Row],[Price AUD
(incl. GST)]]/Table13[[#This Row],['# holds 
per set]]</f>
        <v>4</v>
      </c>
      <c r="D26" s="13">
        <v>48</v>
      </c>
      <c r="E26" s="156"/>
      <c r="F26" s="157"/>
      <c r="G26" s="15">
        <f t="shared" si="0"/>
        <v>0</v>
      </c>
      <c r="H26" s="16">
        <f>Table13[[#This Row],['# holds 
per set]]*Table13[[#This Row],[Qty]]</f>
        <v>0</v>
      </c>
      <c r="I26" s="18">
        <v>0</v>
      </c>
      <c r="J26" s="17">
        <f>Table13[[#This Row],[Qty]]*Table13[[#This Row],['#bolts per set]]</f>
        <v>0</v>
      </c>
      <c r="K26" s="18">
        <v>295</v>
      </c>
      <c r="L26" s="19">
        <v>24</v>
      </c>
      <c r="M26" s="18">
        <f>Table13[[#This Row],[Qty]]*Table13[[#This Row],['#screws per set]]</f>
        <v>0</v>
      </c>
      <c r="N26" s="18">
        <f>Table13[[#This Row],[Qty]]*Table13[[#This Row],[Weight / unit]]</f>
        <v>0</v>
      </c>
    </row>
    <row r="27" spans="1:14" s="9" customFormat="1" ht="20" customHeight="1" x14ac:dyDescent="0.35">
      <c r="A27" s="14" t="s">
        <v>164</v>
      </c>
      <c r="B27" s="11">
        <v>12</v>
      </c>
      <c r="C27" s="20">
        <f>Table13[[#This Row],[Price AUD
(incl. GST)]]/Table13[[#This Row],['# holds 
per set]]</f>
        <v>5</v>
      </c>
      <c r="D27" s="13">
        <v>60</v>
      </c>
      <c r="E27" s="156"/>
      <c r="F27" s="157"/>
      <c r="G27" s="15">
        <f t="shared" si="0"/>
        <v>0</v>
      </c>
      <c r="H27" s="16">
        <f>Table13[[#This Row],['# holds 
per set]]*Table13[[#This Row],[Qty]]</f>
        <v>0</v>
      </c>
      <c r="I27" s="18">
        <v>12</v>
      </c>
      <c r="J27" s="17">
        <f>Table13[[#This Row],[Qty]]*Table13[[#This Row],['#bolts per set]]</f>
        <v>0</v>
      </c>
      <c r="K27" s="18">
        <v>520</v>
      </c>
      <c r="L27" s="19">
        <v>12</v>
      </c>
      <c r="M27" s="18">
        <f>Table13[[#This Row],[Qty]]*Table13[[#This Row],['#screws per set]]</f>
        <v>0</v>
      </c>
      <c r="N27" s="18">
        <f>Table13[[#This Row],[Qty]]*Table13[[#This Row],[Weight / unit]]</f>
        <v>0</v>
      </c>
    </row>
    <row r="28" spans="1:14" s="9" customFormat="1" ht="20" customHeight="1" x14ac:dyDescent="0.35">
      <c r="A28" s="14" t="s">
        <v>165</v>
      </c>
      <c r="B28" s="11">
        <v>8</v>
      </c>
      <c r="C28" s="20">
        <f>Table13[[#This Row],[Price AUD
(incl. GST)]]/Table13[[#This Row],['# holds 
per set]]</f>
        <v>24.375</v>
      </c>
      <c r="D28" s="13">
        <v>195</v>
      </c>
      <c r="E28" s="156"/>
      <c r="F28" s="157"/>
      <c r="G28" s="15">
        <f t="shared" si="0"/>
        <v>0</v>
      </c>
      <c r="H28" s="16">
        <f>Table13[[#This Row],['# holds 
per set]]*Table13[[#This Row],[Qty]]</f>
        <v>0</v>
      </c>
      <c r="I28" s="18">
        <v>8</v>
      </c>
      <c r="J28" s="17">
        <f>Table13[[#This Row],[Qty]]*Table13[[#This Row],['#bolts per set]]</f>
        <v>0</v>
      </c>
      <c r="K28" s="18">
        <v>1690</v>
      </c>
      <c r="L28" s="19">
        <v>8</v>
      </c>
      <c r="M28" s="18">
        <f>Table13[[#This Row],[Qty]]*Table13[[#This Row],['#screws per set]]</f>
        <v>0</v>
      </c>
      <c r="N28" s="18">
        <f>Table13[[#This Row],[Qty]]*Table13[[#This Row],[Weight / unit]]</f>
        <v>0</v>
      </c>
    </row>
    <row r="29" spans="1:14" s="9" customFormat="1" ht="20" customHeight="1" x14ac:dyDescent="0.35">
      <c r="A29" s="14" t="s">
        <v>168</v>
      </c>
      <c r="B29" s="11">
        <v>8</v>
      </c>
      <c r="C29" s="20">
        <f>Table13[[#This Row],[Price AUD
(incl. GST)]]/Table13[[#This Row],['# holds 
per set]]</f>
        <v>54</v>
      </c>
      <c r="D29" s="13">
        <v>432</v>
      </c>
      <c r="E29" s="156"/>
      <c r="F29" s="157"/>
      <c r="G29" s="15">
        <f t="shared" ref="G29:G30" si="1">E29*D29</f>
        <v>0</v>
      </c>
      <c r="H29" s="16">
        <f>Table13[[#This Row],['# holds 
per set]]*Table13[[#This Row],[Qty]]</f>
        <v>0</v>
      </c>
      <c r="I29" s="18">
        <v>8</v>
      </c>
      <c r="J29" s="17">
        <f>Table13[[#This Row],[Qty]]*Table13[[#This Row],['#bolts per set]]</f>
        <v>0</v>
      </c>
      <c r="K29" s="18">
        <v>3750</v>
      </c>
      <c r="L29" s="19">
        <v>32</v>
      </c>
      <c r="M29" s="18">
        <f>Table13[[#This Row],[Qty]]*Table13[[#This Row],['#screws per set]]</f>
        <v>0</v>
      </c>
      <c r="N29" s="18">
        <f>Table13[[#This Row],[Qty]]*Table13[[#This Row],[Weight / unit]]</f>
        <v>0</v>
      </c>
    </row>
    <row r="30" spans="1:14" s="9" customFormat="1" ht="20" customHeight="1" x14ac:dyDescent="0.35">
      <c r="A30" s="14" t="s">
        <v>330</v>
      </c>
      <c r="B30" s="11">
        <v>8</v>
      </c>
      <c r="C30" s="20">
        <f>Table13[[#This Row],[Price AUD
(incl. GST)]]/Table13[[#This Row],['# holds 
per set]]</f>
        <v>9.375</v>
      </c>
      <c r="D30" s="13">
        <v>75</v>
      </c>
      <c r="E30" s="156"/>
      <c r="F30" s="157"/>
      <c r="G30" s="15">
        <f t="shared" si="1"/>
        <v>0</v>
      </c>
      <c r="H30" s="16">
        <f>Table13[[#This Row],['# holds 
per set]]*Table13[[#This Row],[Qty]]</f>
        <v>0</v>
      </c>
      <c r="I30" s="18">
        <v>8</v>
      </c>
      <c r="J30" s="17">
        <f>Table13[[#This Row],[Qty]]*Table13[[#This Row],['#bolts per set]]</f>
        <v>0</v>
      </c>
      <c r="K30" s="18">
        <v>650</v>
      </c>
      <c r="L30" s="19">
        <v>8</v>
      </c>
      <c r="M30" s="18">
        <f>Table13[[#This Row],[Qty]]*Table13[[#This Row],['#screws per set]]</f>
        <v>0</v>
      </c>
      <c r="N30" s="18">
        <f>Table13[[#This Row],[Qty]]*Table13[[#This Row],[Weight / unit]]</f>
        <v>0</v>
      </c>
    </row>
    <row r="31" spans="1:14" s="9" customFormat="1" ht="20" customHeight="1" x14ac:dyDescent="0.35">
      <c r="A31" s="14" t="s">
        <v>331</v>
      </c>
      <c r="B31" s="11">
        <v>8</v>
      </c>
      <c r="C31" s="20">
        <f>Table13[[#This Row],[Price AUD
(incl. GST)]]/Table13[[#This Row],['# holds 
per set]]</f>
        <v>13.75</v>
      </c>
      <c r="D31" s="13">
        <v>110</v>
      </c>
      <c r="E31" s="156"/>
      <c r="F31" s="157"/>
      <c r="G31" s="15">
        <f t="shared" si="0"/>
        <v>0</v>
      </c>
      <c r="H31" s="16">
        <f>Table13[[#This Row],['# holds 
per set]]*Table13[[#This Row],[Qty]]</f>
        <v>0</v>
      </c>
      <c r="I31" s="18">
        <v>8</v>
      </c>
      <c r="J31" s="17">
        <f>Table13[[#This Row],[Qty]]*Table13[[#This Row],['#bolts per set]]</f>
        <v>0</v>
      </c>
      <c r="K31" s="18">
        <v>950</v>
      </c>
      <c r="L31" s="19">
        <v>8</v>
      </c>
      <c r="M31" s="18">
        <f>Table13[[#This Row],[Qty]]*Table13[[#This Row],['#screws per set]]</f>
        <v>0</v>
      </c>
      <c r="N31" s="18">
        <f>Table13[[#This Row],[Qty]]*Table13[[#This Row],[Weight / unit]]</f>
        <v>0</v>
      </c>
    </row>
    <row r="32" spans="1:14" s="9" customFormat="1" ht="6" customHeight="1" x14ac:dyDescent="0.35">
      <c r="A32" s="23"/>
      <c r="B32" s="23"/>
      <c r="C32" s="24"/>
      <c r="D32" s="25"/>
      <c r="E32" s="23"/>
      <c r="F32" s="23"/>
      <c r="G32" s="26"/>
      <c r="H32" s="27"/>
      <c r="I32" s="28"/>
      <c r="J32" s="28"/>
      <c r="K32" s="29"/>
      <c r="L32" s="30"/>
      <c r="M32" s="29"/>
      <c r="N32" s="28"/>
    </row>
    <row r="33" spans="1:14" s="9" customFormat="1" ht="20" customHeight="1" x14ac:dyDescent="0.35">
      <c r="A33" s="14" t="s">
        <v>32</v>
      </c>
      <c r="B33" s="11">
        <v>2</v>
      </c>
      <c r="C33" s="20">
        <f>Table13[[#This Row],[Price AUD
(incl. GST)]]/Table13[[#This Row],['# holds 
per set]]</f>
        <v>152.5</v>
      </c>
      <c r="D33" s="13">
        <v>305</v>
      </c>
      <c r="E33" s="156"/>
      <c r="F33" s="157"/>
      <c r="G33" s="15">
        <f t="shared" ref="G33:G75" si="2">E33*D33</f>
        <v>0</v>
      </c>
      <c r="H33" s="14">
        <f>Table13[[#This Row],['# holds 
per set]]*Table13[[#This Row],[Qty]]</f>
        <v>0</v>
      </c>
      <c r="I33" s="18">
        <v>1</v>
      </c>
      <c r="J33" s="18">
        <f>Table13[[#This Row],[Qty]]*Table13[[#This Row],['#bolts per set]]</f>
        <v>0</v>
      </c>
      <c r="K33" s="18">
        <v>2650</v>
      </c>
      <c r="L33" s="19">
        <v>4</v>
      </c>
      <c r="M33" s="18">
        <f>Table13[[#This Row],[Qty]]*Table13[[#This Row],['#screws per set]]</f>
        <v>0</v>
      </c>
      <c r="N33" s="18">
        <f>Table13[[#This Row],[Qty]]*Table13[[#This Row],[Weight / unit]]</f>
        <v>0</v>
      </c>
    </row>
    <row r="34" spans="1:14" s="9" customFormat="1" ht="20" customHeight="1" x14ac:dyDescent="0.35">
      <c r="A34" s="14" t="s">
        <v>35</v>
      </c>
      <c r="B34" s="11">
        <v>1</v>
      </c>
      <c r="C34" s="20">
        <f>Table13[[#This Row],[Price AUD
(incl. GST)]]/Table13[[#This Row],['# holds 
per set]]</f>
        <v>250</v>
      </c>
      <c r="D34" s="13">
        <v>250</v>
      </c>
      <c r="E34" s="156"/>
      <c r="F34" s="157"/>
      <c r="G34" s="15">
        <f t="shared" ref="G34" si="3">E34*D34</f>
        <v>0</v>
      </c>
      <c r="H34" s="14">
        <f>Table13[[#This Row],['# holds 
per set]]*Table13[[#This Row],[Qty]]</f>
        <v>0</v>
      </c>
      <c r="I34" s="18">
        <v>1</v>
      </c>
      <c r="J34" s="18">
        <f>Table13[[#This Row],[Qty]]*Table13[[#This Row],['#bolts per set]]</f>
        <v>0</v>
      </c>
      <c r="K34" s="18">
        <v>2170</v>
      </c>
      <c r="L34" s="19">
        <v>1</v>
      </c>
      <c r="M34" s="18">
        <f>Table13[[#This Row],[Qty]]*Table13[[#This Row],['#screws per set]]</f>
        <v>0</v>
      </c>
      <c r="N34" s="18">
        <f>Table13[[#This Row],[Qty]]*Table13[[#This Row],[Weight / unit]]</f>
        <v>0</v>
      </c>
    </row>
    <row r="35" spans="1:14" s="9" customFormat="1" ht="6" customHeight="1" x14ac:dyDescent="0.35">
      <c r="A35" s="23"/>
      <c r="B35" s="23"/>
      <c r="C35" s="24"/>
      <c r="D35" s="25"/>
      <c r="E35" s="23"/>
      <c r="F35" s="23"/>
      <c r="G35" s="26"/>
      <c r="H35" s="27"/>
      <c r="I35" s="28"/>
      <c r="J35" s="28"/>
      <c r="K35" s="29"/>
      <c r="L35" s="30"/>
      <c r="M35" s="29"/>
      <c r="N35" s="28"/>
    </row>
    <row r="36" spans="1:14" s="9" customFormat="1" ht="20" customHeight="1" x14ac:dyDescent="0.35">
      <c r="A36" s="14" t="s">
        <v>295</v>
      </c>
      <c r="B36" s="11">
        <v>1</v>
      </c>
      <c r="C36" s="20">
        <f>Table13[[#This Row],[Price AUD
(incl. GST)]]/Table13[[#This Row],['# holds 
per set]]</f>
        <v>251</v>
      </c>
      <c r="D36" s="13">
        <v>251</v>
      </c>
      <c r="E36" s="156"/>
      <c r="F36" s="157"/>
      <c r="G36" s="15">
        <f t="shared" ref="G36:G40" si="4">E36*D36</f>
        <v>0</v>
      </c>
      <c r="H36" s="14">
        <f>Table13[[#This Row],['# holds 
per set]]*Table13[[#This Row],[Qty]]</f>
        <v>0</v>
      </c>
      <c r="I36" s="18">
        <v>1</v>
      </c>
      <c r="J36" s="18">
        <f>Table13[[#This Row],[Qty]]*Table13[[#This Row],['#bolts per set]]</f>
        <v>0</v>
      </c>
      <c r="K36" s="18">
        <v>2180</v>
      </c>
      <c r="L36" s="31">
        <v>7</v>
      </c>
      <c r="M36" s="18">
        <f>Table13[[#This Row],[Qty]]*Table13[[#This Row],['#screws per set]]</f>
        <v>0</v>
      </c>
      <c r="N36" s="18">
        <f>Table13[[#This Row],[Qty]]*Table13[[#This Row],[Weight / unit]]</f>
        <v>0</v>
      </c>
    </row>
    <row r="37" spans="1:14" s="9" customFormat="1" ht="20" customHeight="1" x14ac:dyDescent="0.35">
      <c r="A37" s="14" t="s">
        <v>171</v>
      </c>
      <c r="B37" s="11">
        <v>10</v>
      </c>
      <c r="C37" s="20">
        <f>Table13[[#This Row],[Price AUD
(incl. GST)]]/Table13[[#This Row],['# holds 
per set]]</f>
        <v>25.8</v>
      </c>
      <c r="D37" s="13">
        <v>258</v>
      </c>
      <c r="E37" s="156"/>
      <c r="F37" s="157"/>
      <c r="G37" s="15">
        <f t="shared" ref="G37" si="5">E37*D37</f>
        <v>0</v>
      </c>
      <c r="H37" s="14">
        <f>Table13[[#This Row],['# holds 
per set]]*Table13[[#This Row],[Qty]]</f>
        <v>0</v>
      </c>
      <c r="I37" s="18">
        <v>10</v>
      </c>
      <c r="J37" s="18">
        <f>Table13[[#This Row],[Qty]]*Table13[[#This Row],['#bolts per set]]</f>
        <v>0</v>
      </c>
      <c r="K37" s="18">
        <v>2240</v>
      </c>
      <c r="L37" s="31">
        <v>10</v>
      </c>
      <c r="M37" s="18">
        <f>Table13[[#This Row],[Qty]]*Table13[[#This Row],['#screws per set]]</f>
        <v>0</v>
      </c>
      <c r="N37" s="18">
        <f>Table13[[#This Row],[Qty]]*Table13[[#This Row],[Weight / unit]]</f>
        <v>0</v>
      </c>
    </row>
    <row r="38" spans="1:14" s="9" customFormat="1" ht="20" customHeight="1" x14ac:dyDescent="0.35">
      <c r="A38" s="14" t="s">
        <v>172</v>
      </c>
      <c r="B38" s="11">
        <v>8</v>
      </c>
      <c r="C38" s="20">
        <f>Table13[[#This Row],[Price AUD
(incl. GST)]]/Table13[[#This Row],['# holds 
per set]]</f>
        <v>17.75</v>
      </c>
      <c r="D38" s="13">
        <v>142</v>
      </c>
      <c r="E38" s="156"/>
      <c r="F38" s="157"/>
      <c r="G38" s="15">
        <f t="shared" si="4"/>
        <v>0</v>
      </c>
      <c r="H38" s="14">
        <f>Table13[[#This Row],['# holds 
per set]]*Table13[[#This Row],[Qty]]</f>
        <v>0</v>
      </c>
      <c r="I38" s="18">
        <v>8</v>
      </c>
      <c r="J38" s="18">
        <f>Table13[[#This Row],[Qty]]*Table13[[#This Row],['#bolts per set]]</f>
        <v>0</v>
      </c>
      <c r="K38" s="18">
        <v>1230</v>
      </c>
      <c r="L38" s="19">
        <v>8</v>
      </c>
      <c r="M38" s="18">
        <f>Table13[[#This Row],[Qty]]*Table13[[#This Row],['#screws per set]]</f>
        <v>0</v>
      </c>
      <c r="N38" s="18">
        <f>Table13[[#This Row],[Qty]]*Table13[[#This Row],[Weight / unit]]</f>
        <v>0</v>
      </c>
    </row>
    <row r="39" spans="1:14" s="9" customFormat="1" ht="20" customHeight="1" x14ac:dyDescent="0.35">
      <c r="A39" s="14" t="s">
        <v>173</v>
      </c>
      <c r="B39" s="11">
        <v>12</v>
      </c>
      <c r="C39" s="20">
        <f>Table13[[#This Row],[Price AUD
(incl. GST)]]/Table13[[#This Row],['# holds 
per set]]</f>
        <v>10.583333333333334</v>
      </c>
      <c r="D39" s="13">
        <v>127</v>
      </c>
      <c r="E39" s="156"/>
      <c r="F39" s="157"/>
      <c r="G39" s="15">
        <f t="shared" ref="G39" si="6">E39*D39</f>
        <v>0</v>
      </c>
      <c r="H39" s="14">
        <f>Table13[[#This Row],['# holds 
per set]]*Table13[[#This Row],[Qty]]</f>
        <v>0</v>
      </c>
      <c r="I39" s="18">
        <v>12</v>
      </c>
      <c r="J39" s="18">
        <f>Table13[[#This Row],[Qty]]*Table13[[#This Row],['#bolts per set]]</f>
        <v>0</v>
      </c>
      <c r="K39" s="18">
        <v>1100</v>
      </c>
      <c r="L39" s="31">
        <v>13</v>
      </c>
      <c r="M39" s="18">
        <f>Table13[[#This Row],[Qty]]*Table13[[#This Row],['#screws per set]]</f>
        <v>0</v>
      </c>
      <c r="N39" s="18">
        <f>Table13[[#This Row],[Qty]]*Table13[[#This Row],[Weight / unit]]</f>
        <v>0</v>
      </c>
    </row>
    <row r="40" spans="1:14" s="9" customFormat="1" ht="20" customHeight="1" x14ac:dyDescent="0.35">
      <c r="A40" s="14" t="s">
        <v>318</v>
      </c>
      <c r="B40" s="11">
        <v>8</v>
      </c>
      <c r="C40" s="20">
        <f>Table13[[#This Row],[Price AUD
(incl. GST)]]/Table13[[#This Row],['# holds 
per set]]</f>
        <v>4</v>
      </c>
      <c r="D40" s="13">
        <v>32</v>
      </c>
      <c r="E40" s="156"/>
      <c r="F40" s="157"/>
      <c r="G40" s="15">
        <f t="shared" si="4"/>
        <v>0</v>
      </c>
      <c r="H40" s="14">
        <f>Table13[[#This Row],['# holds 
per set]]*Table13[[#This Row],[Qty]]</f>
        <v>0</v>
      </c>
      <c r="I40" s="18">
        <v>0</v>
      </c>
      <c r="J40" s="18">
        <f>Table13[[#This Row],[Qty]]*Table13[[#This Row],['#bolts per set]]</f>
        <v>0</v>
      </c>
      <c r="K40" s="18">
        <v>120</v>
      </c>
      <c r="L40" s="31">
        <v>16</v>
      </c>
      <c r="M40" s="18">
        <f>Table13[[#This Row],[Qty]]*Table13[[#This Row],['#screws per set]]</f>
        <v>0</v>
      </c>
      <c r="N40" s="18">
        <f>Table13[[#This Row],[Qty]]*Table13[[#This Row],[Weight / unit]]</f>
        <v>0</v>
      </c>
    </row>
    <row r="41" spans="1:14" s="9" customFormat="1" ht="6" customHeight="1" x14ac:dyDescent="0.35">
      <c r="A41" s="23"/>
      <c r="B41" s="23"/>
      <c r="C41" s="24"/>
      <c r="D41" s="25"/>
      <c r="E41" s="23"/>
      <c r="F41" s="23"/>
      <c r="G41" s="26"/>
      <c r="H41" s="27"/>
      <c r="I41" s="28"/>
      <c r="J41" s="28"/>
      <c r="K41" s="29"/>
      <c r="L41" s="30"/>
      <c r="M41" s="29"/>
      <c r="N41" s="28"/>
    </row>
    <row r="42" spans="1:14" s="9" customFormat="1" ht="20" customHeight="1" x14ac:dyDescent="0.35">
      <c r="A42" s="14" t="s">
        <v>64</v>
      </c>
      <c r="B42" s="11">
        <v>2</v>
      </c>
      <c r="C42" s="20">
        <f>Table13[[#This Row],[Price AUD
(incl. GST)]]/Table13[[#This Row],['# holds 
per set]]</f>
        <v>48.5</v>
      </c>
      <c r="D42" s="13">
        <v>97</v>
      </c>
      <c r="E42" s="156"/>
      <c r="F42" s="157"/>
      <c r="G42" s="15">
        <f>E42*D42</f>
        <v>0</v>
      </c>
      <c r="H42" s="14">
        <f>Table13[[#This Row],['# holds 
per set]]*Table13[[#This Row],[Qty]]</f>
        <v>0</v>
      </c>
      <c r="I42" s="18">
        <v>2</v>
      </c>
      <c r="J42" s="18">
        <f>Table13[[#This Row],[Qty]]*Table13[[#This Row],['#bolts per set]]</f>
        <v>0</v>
      </c>
      <c r="K42" s="18">
        <v>840</v>
      </c>
      <c r="L42" s="31">
        <v>2</v>
      </c>
      <c r="M42" s="18">
        <f>Table13[[#This Row],[Qty]]*Table13[[#This Row],['#screws per set]]</f>
        <v>0</v>
      </c>
      <c r="N42" s="18">
        <f>Table13[[#This Row],[Qty]]*Table13[[#This Row],[Weight / unit]]</f>
        <v>0</v>
      </c>
    </row>
    <row r="43" spans="1:14" s="9" customFormat="1" ht="20" customHeight="1" x14ac:dyDescent="0.35">
      <c r="A43" s="14" t="s">
        <v>65</v>
      </c>
      <c r="B43" s="11">
        <v>8</v>
      </c>
      <c r="C43" s="20">
        <f>Table13[[#This Row],[Price AUD
(incl. GST)]]/Table13[[#This Row],['# holds 
per set]]</f>
        <v>34.5</v>
      </c>
      <c r="D43" s="13">
        <v>276</v>
      </c>
      <c r="E43" s="156"/>
      <c r="F43" s="157"/>
      <c r="G43" s="15">
        <f t="shared" si="2"/>
        <v>0</v>
      </c>
      <c r="H43" s="14">
        <f>Table13[[#This Row],['# holds 
per set]]*Table13[[#This Row],[Qty]]</f>
        <v>0</v>
      </c>
      <c r="I43" s="18">
        <v>8</v>
      </c>
      <c r="J43" s="18">
        <f>Table13[[#This Row],[Qty]]*Table13[[#This Row],['#bolts per set]]</f>
        <v>0</v>
      </c>
      <c r="K43" s="18">
        <v>2400</v>
      </c>
      <c r="L43" s="31">
        <v>9</v>
      </c>
      <c r="M43" s="18">
        <f>Table13[[#This Row],[Qty]]*Table13[[#This Row],['#screws per set]]</f>
        <v>0</v>
      </c>
      <c r="N43" s="18">
        <f>Table13[[#This Row],[Qty]]*Table13[[#This Row],[Weight / unit]]</f>
        <v>0</v>
      </c>
    </row>
    <row r="44" spans="1:14" s="9" customFormat="1" ht="20" customHeight="1" x14ac:dyDescent="0.35">
      <c r="A44" s="14" t="s">
        <v>36</v>
      </c>
      <c r="B44" s="11">
        <v>5</v>
      </c>
      <c r="C44" s="20">
        <f>Table13[[#This Row],[Price AUD
(incl. GST)]]/Table13[[#This Row],['# holds 
per set]]</f>
        <v>14.4</v>
      </c>
      <c r="D44" s="13">
        <v>72</v>
      </c>
      <c r="E44" s="156"/>
      <c r="F44" s="157"/>
      <c r="G44" s="15">
        <f t="shared" si="2"/>
        <v>0</v>
      </c>
      <c r="H44" s="14">
        <f>Table13[[#This Row],['# holds 
per set]]*Table13[[#This Row],[Qty]]</f>
        <v>0</v>
      </c>
      <c r="I44" s="18">
        <v>9</v>
      </c>
      <c r="J44" s="18">
        <f>Table13[[#This Row],[Qty]]*Table13[[#This Row],['#bolts per set]]</f>
        <v>0</v>
      </c>
      <c r="K44" s="18">
        <v>1260</v>
      </c>
      <c r="L44" s="31">
        <v>9</v>
      </c>
      <c r="M44" s="18">
        <f>Table13[[#This Row],[Qty]]*Table13[[#This Row],['#screws per set]]</f>
        <v>0</v>
      </c>
      <c r="N44" s="18">
        <f>Table13[[#This Row],[Qty]]*Table13[[#This Row],[Weight / unit]]</f>
        <v>0</v>
      </c>
    </row>
    <row r="45" spans="1:14" s="9" customFormat="1" ht="20" customHeight="1" x14ac:dyDescent="0.35">
      <c r="A45" s="14" t="s">
        <v>38</v>
      </c>
      <c r="B45" s="11">
        <v>12</v>
      </c>
      <c r="C45" s="20">
        <f>Table13[[#This Row],[Price AUD
(incl. GST)]]/Table13[[#This Row],['# holds 
per set]]</f>
        <v>6.666666666666667</v>
      </c>
      <c r="D45" s="13">
        <v>80</v>
      </c>
      <c r="E45" s="156"/>
      <c r="F45" s="157"/>
      <c r="G45" s="15">
        <f>E45*D45</f>
        <v>0</v>
      </c>
      <c r="H45" s="14">
        <f>Table13[[#This Row],['# holds 
per set]]*Table13[[#This Row],[Qty]]</f>
        <v>0</v>
      </c>
      <c r="I45" s="18">
        <v>0</v>
      </c>
      <c r="J45" s="18">
        <f>Table13[[#This Row],[Qty]]*Table13[[#This Row],['#bolts per set]]</f>
        <v>0</v>
      </c>
      <c r="K45" s="18">
        <v>695</v>
      </c>
      <c r="L45" s="31">
        <v>24</v>
      </c>
      <c r="M45" s="18">
        <f>Table13[[#This Row],[Qty]]*Table13[[#This Row],['#screws per set]]</f>
        <v>0</v>
      </c>
      <c r="N45" s="18">
        <f>Table13[[#This Row],[Qty]]*Table13[[#This Row],[Weight / unit]]</f>
        <v>0</v>
      </c>
    </row>
    <row r="46" spans="1:14" s="9" customFormat="1" ht="20" customHeight="1" x14ac:dyDescent="0.35">
      <c r="A46" s="14" t="s">
        <v>66</v>
      </c>
      <c r="B46" s="11">
        <v>8</v>
      </c>
      <c r="C46" s="20">
        <f>Table13[[#This Row],[Price AUD
(incl. GST)]]/Table13[[#This Row],['# holds 
per set]]</f>
        <v>23.875</v>
      </c>
      <c r="D46" s="13">
        <v>191</v>
      </c>
      <c r="E46" s="156"/>
      <c r="F46" s="157"/>
      <c r="G46" s="15">
        <f t="shared" si="2"/>
        <v>0</v>
      </c>
      <c r="H46" s="14">
        <f>Table13[[#This Row],['# holds 
per set]]*Table13[[#This Row],[Qty]]</f>
        <v>0</v>
      </c>
      <c r="I46" s="18">
        <v>8</v>
      </c>
      <c r="J46" s="18">
        <f>Table13[[#This Row],[Qty]]*Table13[[#This Row],['#bolts per set]]</f>
        <v>0</v>
      </c>
      <c r="K46" s="18">
        <v>1660</v>
      </c>
      <c r="L46" s="31">
        <v>8</v>
      </c>
      <c r="M46" s="18">
        <f>Table13[[#This Row],[Qty]]*Table13[[#This Row],['#screws per set]]</f>
        <v>0</v>
      </c>
      <c r="N46" s="18">
        <f>Table13[[#This Row],[Qty]]*Table13[[#This Row],[Weight / unit]]</f>
        <v>0</v>
      </c>
    </row>
    <row r="47" spans="1:14" s="9" customFormat="1" ht="20" customHeight="1" x14ac:dyDescent="0.35">
      <c r="A47" s="14" t="s">
        <v>67</v>
      </c>
      <c r="B47" s="11">
        <v>8</v>
      </c>
      <c r="C47" s="22">
        <f>Table13[[#This Row],[Price AUD
(incl. GST)]]/Table13[[#This Row],['# holds 
per set]]</f>
        <v>35.25</v>
      </c>
      <c r="D47" s="13">
        <v>282</v>
      </c>
      <c r="E47" s="156"/>
      <c r="F47" s="157"/>
      <c r="G47" s="15">
        <f t="shared" si="2"/>
        <v>0</v>
      </c>
      <c r="H47" s="16">
        <f>Table13[[#This Row],['# holds 
per set]]*Table13[[#This Row],[Qty]]</f>
        <v>0</v>
      </c>
      <c r="I47" s="17">
        <v>8</v>
      </c>
      <c r="J47" s="17">
        <f>Table13[[#This Row],[Qty]]*Table13[[#This Row],['#bolts per set]]</f>
        <v>0</v>
      </c>
      <c r="K47" s="17">
        <v>2450</v>
      </c>
      <c r="L47" s="31">
        <v>8</v>
      </c>
      <c r="M47" s="17">
        <f>Table13[[#This Row],[Qty]]*Table13[[#This Row],['#screws per set]]</f>
        <v>0</v>
      </c>
      <c r="N47" s="17">
        <f>Table13[[#This Row],[Qty]]*Table13[[#This Row],[Weight / unit]]</f>
        <v>0</v>
      </c>
    </row>
    <row r="48" spans="1:14" s="9" customFormat="1" ht="20" customHeight="1" x14ac:dyDescent="0.35">
      <c r="A48" s="14" t="s">
        <v>68</v>
      </c>
      <c r="B48" s="11">
        <v>4</v>
      </c>
      <c r="C48" s="20">
        <f>Table13[[#This Row],[Price AUD
(incl. GST)]]/Table13[[#This Row],['# holds 
per set]]</f>
        <v>63.25</v>
      </c>
      <c r="D48" s="13">
        <v>253</v>
      </c>
      <c r="E48" s="156"/>
      <c r="F48" s="157"/>
      <c r="G48" s="15">
        <f t="shared" si="2"/>
        <v>0</v>
      </c>
      <c r="H48" s="14">
        <f>Table13[[#This Row],['# holds 
per set]]*Table13[[#This Row],[Qty]]</f>
        <v>0</v>
      </c>
      <c r="I48" s="18">
        <v>4</v>
      </c>
      <c r="J48" s="18">
        <f>Table13[[#This Row],[Qty]]*Table13[[#This Row],['#bolts per set]]</f>
        <v>0</v>
      </c>
      <c r="K48" s="18">
        <v>2200</v>
      </c>
      <c r="L48" s="31">
        <v>4</v>
      </c>
      <c r="M48" s="18">
        <f>Table13[[#This Row],[Qty]]*Table13[[#This Row],['#screws per set]]</f>
        <v>0</v>
      </c>
      <c r="N48" s="18">
        <f>Table13[[#This Row],[Qty]]*Table13[[#This Row],[Weight / unit]]</f>
        <v>0</v>
      </c>
    </row>
    <row r="49" spans="1:14" s="9" customFormat="1" ht="20" customHeight="1" x14ac:dyDescent="0.35">
      <c r="A49" s="14" t="s">
        <v>146</v>
      </c>
      <c r="B49" s="11">
        <v>8</v>
      </c>
      <c r="C49" s="20">
        <f>Table13[[#This Row],[Price AUD
(incl. GST)]]/Table13[[#This Row],['# holds 
per set]]</f>
        <v>20.375</v>
      </c>
      <c r="D49" s="13">
        <v>163</v>
      </c>
      <c r="E49" s="156"/>
      <c r="F49" s="157"/>
      <c r="G49" s="15">
        <f t="shared" ref="G49:G51" si="7">E49*D49</f>
        <v>0</v>
      </c>
      <c r="H49" s="14">
        <f>Table13[[#This Row],['# holds 
per set]]*Table13[[#This Row],[Qty]]</f>
        <v>0</v>
      </c>
      <c r="I49" s="18">
        <v>8</v>
      </c>
      <c r="J49" s="18">
        <f>Table13[[#This Row],[Qty]]*Table13[[#This Row],['#bolts per set]]</f>
        <v>0</v>
      </c>
      <c r="K49" s="18">
        <v>1410</v>
      </c>
      <c r="L49" s="31">
        <v>8</v>
      </c>
      <c r="M49" s="18">
        <f>Table13[[#This Row],[Qty]]*Table13[[#This Row],['#screws per set]]</f>
        <v>0</v>
      </c>
      <c r="N49" s="18">
        <f>Table13[[#This Row],[Qty]]*Table13[[#This Row],[Weight / unit]]</f>
        <v>0</v>
      </c>
    </row>
    <row r="50" spans="1:14" s="9" customFormat="1" ht="20" customHeight="1" x14ac:dyDescent="0.35">
      <c r="A50" s="14" t="s">
        <v>147</v>
      </c>
      <c r="B50" s="11">
        <v>8</v>
      </c>
      <c r="C50" s="20">
        <f>Table13[[#This Row],[Price AUD
(incl. GST)]]/Table13[[#This Row],['# holds 
per set]]</f>
        <v>23.75</v>
      </c>
      <c r="D50" s="13">
        <v>190</v>
      </c>
      <c r="E50" s="156"/>
      <c r="F50" s="157"/>
      <c r="G50" s="15">
        <f t="shared" si="7"/>
        <v>0</v>
      </c>
      <c r="H50" s="14">
        <f>Table13[[#This Row],['# holds 
per set]]*Table13[[#This Row],[Qty]]</f>
        <v>0</v>
      </c>
      <c r="I50" s="18">
        <v>8</v>
      </c>
      <c r="J50" s="18">
        <f>Table13[[#This Row],[Qty]]*Table13[[#This Row],['#bolts per set]]</f>
        <v>0</v>
      </c>
      <c r="K50" s="18">
        <v>1650</v>
      </c>
      <c r="L50" s="31">
        <v>8</v>
      </c>
      <c r="M50" s="18">
        <f>Table13[[#This Row],[Qty]]*Table13[[#This Row],['#screws per set]]</f>
        <v>0</v>
      </c>
      <c r="N50" s="18">
        <f>Table13[[#This Row],[Qty]]*Table13[[#This Row],[Weight / unit]]</f>
        <v>0</v>
      </c>
    </row>
    <row r="51" spans="1:14" s="9" customFormat="1" ht="20" customHeight="1" x14ac:dyDescent="0.35">
      <c r="A51" s="14" t="s">
        <v>170</v>
      </c>
      <c r="B51" s="11">
        <v>8</v>
      </c>
      <c r="C51" s="20">
        <f>Table13[[#This Row],[Price AUD
(incl. GST)]]/Table13[[#This Row],['# holds 
per set]]</f>
        <v>57.5</v>
      </c>
      <c r="D51" s="13">
        <v>460</v>
      </c>
      <c r="E51" s="156"/>
      <c r="F51" s="157"/>
      <c r="G51" s="15">
        <f t="shared" si="7"/>
        <v>0</v>
      </c>
      <c r="H51" s="16">
        <f>Table13[[#This Row],['# holds 
per set]]*Table13[[#This Row],[Qty]]</f>
        <v>0</v>
      </c>
      <c r="I51" s="17">
        <v>8</v>
      </c>
      <c r="J51" s="17">
        <f>Table13[[#This Row],[Qty]]*Table13[[#This Row],['#bolts per set]]</f>
        <v>0</v>
      </c>
      <c r="K51" s="18">
        <v>4000</v>
      </c>
      <c r="L51" s="19">
        <v>11</v>
      </c>
      <c r="M51" s="18">
        <f>Table13[[#This Row],[Qty]]*Table13[[#This Row],['#screws per set]]</f>
        <v>0</v>
      </c>
      <c r="N51" s="17">
        <f>Table13[[#This Row],[Qty]]*Table13[[#This Row],[Weight / unit]]</f>
        <v>0</v>
      </c>
    </row>
    <row r="52" spans="1:14" s="9" customFormat="1" ht="20" customHeight="1" x14ac:dyDescent="0.35">
      <c r="A52" s="14" t="s">
        <v>191</v>
      </c>
      <c r="B52" s="11">
        <v>3</v>
      </c>
      <c r="C52" s="20">
        <f>Table13[[#This Row],[Price AUD
(incl. GST)]]/Table13[[#This Row],['# holds 
per set]]</f>
        <v>103.66666666666667</v>
      </c>
      <c r="D52" s="13">
        <v>311</v>
      </c>
      <c r="E52" s="156"/>
      <c r="F52" s="157"/>
      <c r="G52" s="15">
        <f t="shared" ref="G52:G53" si="8">E52*D52</f>
        <v>0</v>
      </c>
      <c r="H52" s="16">
        <f>Table13[[#This Row],['# holds 
per set]]*Table13[[#This Row],[Qty]]</f>
        <v>0</v>
      </c>
      <c r="I52" s="17">
        <v>3</v>
      </c>
      <c r="J52" s="17">
        <f>Table13[[#This Row],[Qty]]*Table13[[#This Row],['#bolts per set]]</f>
        <v>0</v>
      </c>
      <c r="K52" s="18">
        <v>2700</v>
      </c>
      <c r="L52" s="19">
        <v>6</v>
      </c>
      <c r="M52" s="18">
        <f>Table13[[#This Row],[Qty]]*Table13[[#This Row],['#screws per set]]</f>
        <v>0</v>
      </c>
      <c r="N52" s="17">
        <f>Table13[[#This Row],[Qty]]*Table13[[#This Row],[Weight / unit]]</f>
        <v>0</v>
      </c>
    </row>
    <row r="53" spans="1:14" s="9" customFormat="1" ht="20" customHeight="1" x14ac:dyDescent="0.35">
      <c r="A53" s="14" t="s">
        <v>194</v>
      </c>
      <c r="B53" s="11">
        <v>8</v>
      </c>
      <c r="C53" s="20">
        <f>Table13[[#This Row],[Price AUD
(incl. GST)]]/Table13[[#This Row],['# holds 
per set]]</f>
        <v>33.875</v>
      </c>
      <c r="D53" s="13">
        <v>271</v>
      </c>
      <c r="E53" s="156"/>
      <c r="F53" s="157"/>
      <c r="G53" s="15">
        <f t="shared" si="8"/>
        <v>0</v>
      </c>
      <c r="H53" s="16">
        <f>Table13[[#This Row],['# holds 
per set]]*Table13[[#This Row],[Qty]]</f>
        <v>0</v>
      </c>
      <c r="I53" s="17">
        <v>8</v>
      </c>
      <c r="J53" s="17">
        <f>Table13[[#This Row],[Qty]]*Table13[[#This Row],['#bolts per set]]</f>
        <v>0</v>
      </c>
      <c r="K53" s="18">
        <v>2350</v>
      </c>
      <c r="L53" s="19">
        <v>8</v>
      </c>
      <c r="M53" s="18">
        <f>Table13[[#This Row],[Qty]]*Table13[[#This Row],['#screws per set]]</f>
        <v>0</v>
      </c>
      <c r="N53" s="17">
        <f>Table13[[#This Row],[Qty]]*Table13[[#This Row],[Weight / unit]]</f>
        <v>0</v>
      </c>
    </row>
    <row r="54" spans="1:14" s="9" customFormat="1" ht="20" customHeight="1" x14ac:dyDescent="0.35">
      <c r="A54" s="14" t="s">
        <v>283</v>
      </c>
      <c r="B54" s="11">
        <v>8</v>
      </c>
      <c r="C54" s="20">
        <f>Table13[[#This Row],[Price AUD
(incl. GST)]]/Table13[[#This Row],['# holds 
per set]]</f>
        <v>21.5</v>
      </c>
      <c r="D54" s="13">
        <v>172</v>
      </c>
      <c r="E54" s="156"/>
      <c r="F54" s="157"/>
      <c r="G54" s="15">
        <f t="shared" ref="G54:G55" si="9">E54*D54</f>
        <v>0</v>
      </c>
      <c r="H54" s="16">
        <f>Table13[[#This Row],['# holds 
per set]]*Table13[[#This Row],[Qty]]</f>
        <v>0</v>
      </c>
      <c r="I54" s="17">
        <v>8</v>
      </c>
      <c r="J54" s="17">
        <f>Table13[[#This Row],[Qty]]*Table13[[#This Row],['#bolts per set]]</f>
        <v>0</v>
      </c>
      <c r="K54" s="18">
        <v>1490</v>
      </c>
      <c r="L54" s="19">
        <v>8</v>
      </c>
      <c r="M54" s="18">
        <f>Table13[[#This Row],[Qty]]*Table13[[#This Row],['#screws per set]]</f>
        <v>0</v>
      </c>
      <c r="N54" s="17">
        <f>Table13[[#This Row],[Qty]]*Table13[[#This Row],[Weight / unit]]</f>
        <v>0</v>
      </c>
    </row>
    <row r="55" spans="1:14" s="9" customFormat="1" ht="20" customHeight="1" x14ac:dyDescent="0.35">
      <c r="A55" s="14" t="s">
        <v>288</v>
      </c>
      <c r="B55" s="11">
        <v>8</v>
      </c>
      <c r="C55" s="20">
        <f>Table13[[#This Row],[Price AUD
(incl. GST)]]/Table13[[#This Row],['# holds 
per set]]</f>
        <v>12.75</v>
      </c>
      <c r="D55" s="13">
        <v>102</v>
      </c>
      <c r="E55" s="156"/>
      <c r="F55" s="157"/>
      <c r="G55" s="15">
        <f t="shared" si="9"/>
        <v>0</v>
      </c>
      <c r="H55" s="16">
        <f>Table13[[#This Row],['# holds 
per set]]*Table13[[#This Row],[Qty]]</f>
        <v>0</v>
      </c>
      <c r="I55" s="17">
        <v>8</v>
      </c>
      <c r="J55" s="17">
        <f>Table13[[#This Row],[Qty]]*Table13[[#This Row],['#bolts per set]]</f>
        <v>0</v>
      </c>
      <c r="K55" s="18">
        <v>880</v>
      </c>
      <c r="L55" s="19">
        <v>8</v>
      </c>
      <c r="M55" s="18">
        <f>Table13[[#This Row],[Qty]]*Table13[[#This Row],['#screws per set]]</f>
        <v>0</v>
      </c>
      <c r="N55" s="17">
        <f>Table13[[#This Row],[Qty]]*Table13[[#This Row],[Weight / unit]]</f>
        <v>0</v>
      </c>
    </row>
    <row r="56" spans="1:14" s="9" customFormat="1" ht="20" customHeight="1" x14ac:dyDescent="0.35">
      <c r="A56" s="14" t="s">
        <v>296</v>
      </c>
      <c r="B56" s="11">
        <v>8</v>
      </c>
      <c r="C56" s="20">
        <f>Table13[[#This Row],[Price AUD
(incl. GST)]]/Table13[[#This Row],['# holds 
per set]]</f>
        <v>21.625</v>
      </c>
      <c r="D56" s="13">
        <v>173</v>
      </c>
      <c r="E56" s="156"/>
      <c r="F56" s="157"/>
      <c r="G56" s="15">
        <f t="shared" ref="G56" si="10">E56*D56</f>
        <v>0</v>
      </c>
      <c r="H56" s="16">
        <f>Table13[[#This Row],['# holds 
per set]]*Table13[[#This Row],[Qty]]</f>
        <v>0</v>
      </c>
      <c r="I56" s="17">
        <v>8</v>
      </c>
      <c r="J56" s="17">
        <f>Table13[[#This Row],[Qty]]*Table13[[#This Row],['#bolts per set]]</f>
        <v>0</v>
      </c>
      <c r="K56" s="18">
        <v>1470</v>
      </c>
      <c r="L56" s="19">
        <v>8</v>
      </c>
      <c r="M56" s="17">
        <f>Table13[[#This Row],[Qty]]*Table13[[#This Row],['#screws per set]]</f>
        <v>0</v>
      </c>
      <c r="N56" s="17">
        <f>Table13[[#This Row],[Qty]]*Table13[[#This Row],[Weight / unit]]</f>
        <v>0</v>
      </c>
    </row>
    <row r="57" spans="1:14" s="9" customFormat="1" ht="20" customHeight="1" x14ac:dyDescent="0.35">
      <c r="A57" s="14" t="s">
        <v>320</v>
      </c>
      <c r="B57" s="11">
        <v>8</v>
      </c>
      <c r="C57" s="20">
        <f>Table13[[#This Row],[Price AUD
(incl. GST)]]/Table13[[#This Row],['# holds 
per set]]</f>
        <v>22.25</v>
      </c>
      <c r="D57" s="13">
        <v>178</v>
      </c>
      <c r="E57" s="156"/>
      <c r="F57" s="157"/>
      <c r="G57" s="15">
        <f t="shared" ref="G57" si="11">E57*D57</f>
        <v>0</v>
      </c>
      <c r="H57" s="16">
        <f>Table13[[#This Row],['# holds 
per set]]*Table13[[#This Row],[Qty]]</f>
        <v>0</v>
      </c>
      <c r="I57" s="17">
        <v>8</v>
      </c>
      <c r="J57" s="17">
        <f>Table13[[#This Row],[Qty]]*Table13[[#This Row],['#bolts per set]]</f>
        <v>0</v>
      </c>
      <c r="K57" s="18">
        <v>1540</v>
      </c>
      <c r="L57" s="19">
        <v>8</v>
      </c>
      <c r="M57" s="17">
        <f>Table13[[#This Row],[Qty]]*Table13[[#This Row],['#screws per set]]</f>
        <v>0</v>
      </c>
      <c r="N57" s="17">
        <f>Table13[[#This Row],[Qty]]*Table13[[#This Row],[Weight / unit]]</f>
        <v>0</v>
      </c>
    </row>
    <row r="58" spans="1:14" s="9" customFormat="1" ht="20" customHeight="1" x14ac:dyDescent="0.35">
      <c r="A58" s="10" t="s">
        <v>297</v>
      </c>
      <c r="B58" s="11">
        <v>8</v>
      </c>
      <c r="C58" s="32">
        <f>Table13[[#This Row],[Price AUD
(incl. GST)]]/Table13[[#This Row],['# holds 
per set]]</f>
        <v>21.5</v>
      </c>
      <c r="D58" s="13">
        <v>172</v>
      </c>
      <c r="E58" s="156"/>
      <c r="F58" s="157"/>
      <c r="G58" s="15">
        <f>E58*D58</f>
        <v>0</v>
      </c>
      <c r="H58" s="16">
        <f>Table13[[#This Row],['# holds 
per set]]*Table13[[#This Row],[Qty]]</f>
        <v>0</v>
      </c>
      <c r="I58" s="17">
        <v>0</v>
      </c>
      <c r="J58" s="17">
        <f>Table13[[#This Row],[Qty]]*Table13[[#This Row],['#bolts per set]]</f>
        <v>0</v>
      </c>
      <c r="K58" s="18">
        <v>1490</v>
      </c>
      <c r="L58" s="19">
        <v>24</v>
      </c>
      <c r="M58" s="17">
        <f>Table13[[#This Row],[Qty]]*Table13[[#This Row],['#screws per set]]</f>
        <v>0</v>
      </c>
      <c r="N58" s="17">
        <f>Table13[[#This Row],[Qty]]*Table13[[#This Row],[Weight / unit]]</f>
        <v>0</v>
      </c>
    </row>
    <row r="59" spans="1:14" s="9" customFormat="1" ht="20" customHeight="1" x14ac:dyDescent="0.35">
      <c r="A59" s="14" t="s">
        <v>298</v>
      </c>
      <c r="B59" s="11">
        <v>8</v>
      </c>
      <c r="C59" s="20">
        <f>Table13[[#This Row],[Price AUD
(incl. GST)]]/Table13[[#This Row],['# holds 
per set]]</f>
        <v>10.875</v>
      </c>
      <c r="D59" s="13">
        <v>87</v>
      </c>
      <c r="E59" s="156"/>
      <c r="F59" s="157"/>
      <c r="G59" s="15">
        <f t="shared" ref="G59" si="12">E59*D59</f>
        <v>0</v>
      </c>
      <c r="H59" s="16">
        <f>Table13[[#This Row],['# holds 
per set]]*Table13[[#This Row],[Qty]]</f>
        <v>0</v>
      </c>
      <c r="I59" s="17">
        <v>0</v>
      </c>
      <c r="J59" s="17">
        <f>Table13[[#This Row],[Qty]]*Table13[[#This Row],['#bolts per set]]</f>
        <v>0</v>
      </c>
      <c r="K59" s="18">
        <v>750</v>
      </c>
      <c r="L59" s="19">
        <v>24</v>
      </c>
      <c r="M59" s="18">
        <f>Table13[[#This Row],[Qty]]*Table13[[#This Row],['#screws per set]]</f>
        <v>0</v>
      </c>
      <c r="N59" s="17">
        <f>Table13[[#This Row],[Qty]]*Table13[[#This Row],[Weight / unit]]</f>
        <v>0</v>
      </c>
    </row>
    <row r="60" spans="1:14" s="9" customFormat="1" ht="20" customHeight="1" x14ac:dyDescent="0.35">
      <c r="A60" s="14" t="s">
        <v>335</v>
      </c>
      <c r="B60" s="11">
        <v>8</v>
      </c>
      <c r="C60" s="20">
        <f>Table13[[#This Row],[Price AUD
(incl. GST)]]/Table13[[#This Row],['# holds 
per set]]</f>
        <v>41.75</v>
      </c>
      <c r="D60" s="13">
        <v>334</v>
      </c>
      <c r="E60" s="156"/>
      <c r="F60" s="157"/>
      <c r="G60" s="15">
        <f t="shared" ref="G60" si="13">E60*D60</f>
        <v>0</v>
      </c>
      <c r="H60" s="16">
        <f>Table13[[#This Row],['# holds 
per set]]*Table13[[#This Row],[Qty]]</f>
        <v>0</v>
      </c>
      <c r="I60" s="17">
        <v>8</v>
      </c>
      <c r="J60" s="17">
        <f>Table13[[#This Row],[Qty]]*Table13[[#This Row],['#bolts per set]]</f>
        <v>0</v>
      </c>
      <c r="K60" s="18">
        <v>2900</v>
      </c>
      <c r="L60" s="19">
        <v>24</v>
      </c>
      <c r="M60" s="18">
        <f>Table13[[#This Row],[Qty]]*Table13[[#This Row],['#screws per set]]</f>
        <v>0</v>
      </c>
      <c r="N60" s="17">
        <f>Table13[[#This Row],[Qty]]*Table13[[#This Row],[Weight / unit]]</f>
        <v>0</v>
      </c>
    </row>
    <row r="61" spans="1:14" s="9" customFormat="1" ht="6" customHeight="1" x14ac:dyDescent="0.35">
      <c r="A61" s="23"/>
      <c r="B61" s="23"/>
      <c r="C61" s="24"/>
      <c r="D61" s="33"/>
      <c r="E61" s="23"/>
      <c r="F61" s="23"/>
      <c r="G61" s="26"/>
      <c r="H61" s="27"/>
      <c r="I61" s="28"/>
      <c r="J61" s="28"/>
      <c r="K61" s="29"/>
      <c r="L61" s="30"/>
      <c r="M61" s="29"/>
      <c r="N61" s="28"/>
    </row>
    <row r="62" spans="1:14" s="9" customFormat="1" ht="20" customHeight="1" x14ac:dyDescent="0.35">
      <c r="A62" s="14" t="s">
        <v>4</v>
      </c>
      <c r="B62" s="11">
        <v>8</v>
      </c>
      <c r="C62" s="20">
        <f>Table13[[#This Row],[Price AUD
(incl. GST)]]/Table13[[#This Row],['# holds 
per set]]</f>
        <v>57.375</v>
      </c>
      <c r="D62" s="13">
        <v>459</v>
      </c>
      <c r="E62" s="156"/>
      <c r="F62" s="157"/>
      <c r="G62" s="15">
        <f t="shared" si="2"/>
        <v>0</v>
      </c>
      <c r="H62" s="14">
        <f>Table13[[#This Row],['# holds 
per set]]*Table13[[#This Row],[Qty]]</f>
        <v>0</v>
      </c>
      <c r="I62" s="18">
        <v>8</v>
      </c>
      <c r="J62" s="18">
        <f>Table13[[#This Row],[Qty]]*Table13[[#This Row],['#bolts per set]]</f>
        <v>0</v>
      </c>
      <c r="K62" s="18">
        <v>3990</v>
      </c>
      <c r="L62" s="19">
        <v>8</v>
      </c>
      <c r="M62" s="18">
        <f>Table13[[#This Row],[Qty]]*Table13[[#This Row],['#screws per set]]</f>
        <v>0</v>
      </c>
      <c r="N62" s="18">
        <f>Table13[[#This Row],[Qty]]*Table13[[#This Row],[Weight / unit]]</f>
        <v>0</v>
      </c>
    </row>
    <row r="63" spans="1:14" s="9" customFormat="1" ht="20" customHeight="1" x14ac:dyDescent="0.35">
      <c r="A63" s="14" t="s">
        <v>5</v>
      </c>
      <c r="B63" s="11">
        <v>8</v>
      </c>
      <c r="C63" s="20">
        <f>Table13[[#This Row],[Price AUD
(incl. GST)]]/Table13[[#This Row],['# holds 
per set]]</f>
        <v>50.625</v>
      </c>
      <c r="D63" s="13">
        <v>405</v>
      </c>
      <c r="E63" s="156"/>
      <c r="F63" s="157"/>
      <c r="G63" s="15">
        <f>E63*D63</f>
        <v>0</v>
      </c>
      <c r="H63" s="14">
        <f>Table13[[#This Row],['# holds 
per set]]*Table13[[#This Row],[Qty]]</f>
        <v>0</v>
      </c>
      <c r="I63" s="18">
        <v>8</v>
      </c>
      <c r="J63" s="18">
        <f>Table13[[#This Row],[Qty]]*Table13[[#This Row],['#bolts per set]]</f>
        <v>0</v>
      </c>
      <c r="K63" s="18">
        <v>3515</v>
      </c>
      <c r="L63" s="19">
        <v>8</v>
      </c>
      <c r="M63" s="18">
        <f>Table13[[#This Row],[Qty]]*Table13[[#This Row],['#screws per set]]</f>
        <v>0</v>
      </c>
      <c r="N63" s="18">
        <f>Table13[[#This Row],[Qty]]*Table13[[#This Row],[Weight / unit]]</f>
        <v>0</v>
      </c>
    </row>
    <row r="64" spans="1:14" s="9" customFormat="1" ht="20" customHeight="1" x14ac:dyDescent="0.35">
      <c r="A64" s="14" t="s">
        <v>33</v>
      </c>
      <c r="B64" s="11">
        <v>8</v>
      </c>
      <c r="C64" s="20">
        <f>Table13[[#This Row],[Price AUD
(incl. GST)]]/Table13[[#This Row],['# holds 
per set]]</f>
        <v>145.375</v>
      </c>
      <c r="D64" s="13">
        <v>1163</v>
      </c>
      <c r="E64" s="156"/>
      <c r="F64" s="157"/>
      <c r="G64" s="15">
        <f t="shared" si="2"/>
        <v>0</v>
      </c>
      <c r="H64" s="14">
        <f>Table13[[#This Row],['# holds 
per set]]*Table13[[#This Row],[Qty]]</f>
        <v>0</v>
      </c>
      <c r="I64" s="18">
        <v>8</v>
      </c>
      <c r="J64" s="18">
        <f>Table13[[#This Row],[Qty]]*Table13[[#This Row],['#bolts per set]]</f>
        <v>0</v>
      </c>
      <c r="K64" s="18">
        <v>10110</v>
      </c>
      <c r="L64" s="19">
        <v>13</v>
      </c>
      <c r="M64" s="18">
        <f>Table13[[#This Row],[Qty]]*Table13[[#This Row],['#screws per set]]</f>
        <v>0</v>
      </c>
      <c r="N64" s="18">
        <f>Table13[[#This Row],[Qty]]*Table13[[#This Row],[Weight / unit]]</f>
        <v>0</v>
      </c>
    </row>
    <row r="65" spans="1:14" s="9" customFormat="1" ht="20" customHeight="1" x14ac:dyDescent="0.35">
      <c r="A65" s="14" t="s">
        <v>6</v>
      </c>
      <c r="B65" s="11">
        <v>8</v>
      </c>
      <c r="C65" s="20">
        <f>Table13[[#This Row],[Price AUD
(incl. GST)]]/Table13[[#This Row],['# holds 
per set]]</f>
        <v>61</v>
      </c>
      <c r="D65" s="13">
        <v>488</v>
      </c>
      <c r="E65" s="156"/>
      <c r="F65" s="157"/>
      <c r="G65" s="15">
        <f t="shared" si="2"/>
        <v>0</v>
      </c>
      <c r="H65" s="14">
        <f>Table13[[#This Row],['# holds 
per set]]*Table13[[#This Row],[Qty]]</f>
        <v>0</v>
      </c>
      <c r="I65" s="18">
        <v>8</v>
      </c>
      <c r="J65" s="18">
        <f>Table13[[#This Row],[Qty]]*Table13[[#This Row],['#bolts per set]]</f>
        <v>0</v>
      </c>
      <c r="K65" s="18">
        <v>4240</v>
      </c>
      <c r="L65" s="19">
        <v>8</v>
      </c>
      <c r="M65" s="18">
        <f>Table13[[#This Row],[Qty]]*Table13[[#This Row],['#screws per set]]</f>
        <v>0</v>
      </c>
      <c r="N65" s="18">
        <f>Table13[[#This Row],[Qty]]*Table13[[#This Row],[Weight / unit]]</f>
        <v>0</v>
      </c>
    </row>
    <row r="66" spans="1:14" s="9" customFormat="1" ht="20" customHeight="1" x14ac:dyDescent="0.35">
      <c r="A66" s="14" t="s">
        <v>7</v>
      </c>
      <c r="B66" s="11">
        <v>12</v>
      </c>
      <c r="C66" s="20">
        <f>Table13[[#This Row],[Price AUD
(incl. GST)]]/Table13[[#This Row],['# holds 
per set]]</f>
        <v>45</v>
      </c>
      <c r="D66" s="13">
        <v>540</v>
      </c>
      <c r="E66" s="156"/>
      <c r="F66" s="157"/>
      <c r="G66" s="15">
        <f t="shared" si="2"/>
        <v>0</v>
      </c>
      <c r="H66" s="14">
        <f>Table13[[#This Row],['# holds 
per set]]*Table13[[#This Row],[Qty]]</f>
        <v>0</v>
      </c>
      <c r="I66" s="18">
        <v>12</v>
      </c>
      <c r="J66" s="18">
        <f>Table13[[#This Row],[Qty]]*Table13[[#This Row],['#bolts per set]]</f>
        <v>0</v>
      </c>
      <c r="K66" s="18">
        <v>4690</v>
      </c>
      <c r="L66" s="19">
        <v>12</v>
      </c>
      <c r="M66" s="18">
        <f>Table13[[#This Row],[Qty]]*Table13[[#This Row],['#screws per set]]</f>
        <v>0</v>
      </c>
      <c r="N66" s="18">
        <f>Table13[[#This Row],[Qty]]*Table13[[#This Row],[Weight / unit]]</f>
        <v>0</v>
      </c>
    </row>
    <row r="67" spans="1:14" s="9" customFormat="1" ht="20" customHeight="1" x14ac:dyDescent="0.35">
      <c r="A67" s="14" t="s">
        <v>112</v>
      </c>
      <c r="B67" s="11">
        <v>8</v>
      </c>
      <c r="C67" s="20">
        <f>Table13[[#This Row],[Price AUD
(incl. GST)]]/Table13[[#This Row],['# holds 
per set]]</f>
        <v>209.875</v>
      </c>
      <c r="D67" s="13">
        <v>1679</v>
      </c>
      <c r="E67" s="156"/>
      <c r="F67" s="157"/>
      <c r="G67" s="15">
        <f t="shared" si="2"/>
        <v>0</v>
      </c>
      <c r="H67" s="14">
        <f>Table13[[#This Row],['# holds 
per set]]*Table13[[#This Row],[Qty]]</f>
        <v>0</v>
      </c>
      <c r="I67" s="18">
        <v>8</v>
      </c>
      <c r="J67" s="18">
        <f>Table13[[#This Row],[Qty]]*Table13[[#This Row],['#bolts per set]]</f>
        <v>0</v>
      </c>
      <c r="K67" s="18">
        <v>14600</v>
      </c>
      <c r="L67" s="19">
        <v>14</v>
      </c>
      <c r="M67" s="18">
        <f>Table13[[#This Row],[Qty]]*Table13[[#This Row],['#screws per set]]</f>
        <v>0</v>
      </c>
      <c r="N67" s="18">
        <f>Table13[[#This Row],[Qty]]*Table13[[#This Row],[Weight / unit]]</f>
        <v>0</v>
      </c>
    </row>
    <row r="68" spans="1:14" s="9" customFormat="1" ht="20" customHeight="1" x14ac:dyDescent="0.35">
      <c r="A68" s="14" t="s">
        <v>69</v>
      </c>
      <c r="B68" s="11">
        <v>8</v>
      </c>
      <c r="C68" s="20">
        <f>Table13[[#This Row],[Price AUD
(incl. GST)]]/Table13[[#This Row],['# holds 
per set]]</f>
        <v>39</v>
      </c>
      <c r="D68" s="13">
        <v>312</v>
      </c>
      <c r="E68" s="156"/>
      <c r="F68" s="157"/>
      <c r="G68" s="15">
        <f t="shared" si="2"/>
        <v>0</v>
      </c>
      <c r="H68" s="14">
        <f>Table13[[#This Row],['# holds 
per set]]*Table13[[#This Row],[Qty]]</f>
        <v>0</v>
      </c>
      <c r="I68" s="18">
        <v>8</v>
      </c>
      <c r="J68" s="18">
        <f>Table13[[#This Row],[Qty]]*Table13[[#This Row],['#bolts per set]]</f>
        <v>0</v>
      </c>
      <c r="K68" s="18">
        <v>2710</v>
      </c>
      <c r="L68" s="19">
        <v>8</v>
      </c>
      <c r="M68" s="18">
        <f>Table13[[#This Row],[Qty]]*Table13[[#This Row],['#screws per set]]</f>
        <v>0</v>
      </c>
      <c r="N68" s="18">
        <f>Table13[[#This Row],[Qty]]*Table13[[#This Row],[Weight / unit]]</f>
        <v>0</v>
      </c>
    </row>
    <row r="69" spans="1:14" s="9" customFormat="1" ht="20" customHeight="1" x14ac:dyDescent="0.35">
      <c r="A69" s="14" t="s">
        <v>192</v>
      </c>
      <c r="B69" s="11">
        <v>8</v>
      </c>
      <c r="C69" s="20">
        <f>Table13[[#This Row],[Price AUD
(incl. GST)]]/Table13[[#This Row],['# holds 
per set]]</f>
        <v>11</v>
      </c>
      <c r="D69" s="13">
        <v>88</v>
      </c>
      <c r="E69" s="156"/>
      <c r="F69" s="157"/>
      <c r="G69" s="15">
        <f t="shared" ref="G69" si="14">E69*D69</f>
        <v>0</v>
      </c>
      <c r="H69" s="14">
        <f>Table13[[#This Row],['# holds 
per set]]*Table13[[#This Row],[Qty]]</f>
        <v>0</v>
      </c>
      <c r="I69" s="18">
        <v>8</v>
      </c>
      <c r="J69" s="18">
        <f>Table13[[#This Row],[Qty]]*Table13[[#This Row],['#bolts per set]]</f>
        <v>0</v>
      </c>
      <c r="K69" s="18">
        <v>760</v>
      </c>
      <c r="L69" s="19">
        <v>8</v>
      </c>
      <c r="M69" s="18">
        <f>Table13[[#This Row],[Qty]]*Table13[[#This Row],['#screws per set]]</f>
        <v>0</v>
      </c>
      <c r="N69" s="18">
        <f>Table13[[#This Row],[Qty]]*Table13[[#This Row],[Weight / unit]]</f>
        <v>0</v>
      </c>
    </row>
    <row r="70" spans="1:14" s="9" customFormat="1" ht="20" customHeight="1" x14ac:dyDescent="0.35">
      <c r="A70" s="14" t="s">
        <v>8</v>
      </c>
      <c r="B70" s="11">
        <v>12</v>
      </c>
      <c r="C70" s="20">
        <f>Table13[[#This Row],[Price AUD
(incl. GST)]]/Table13[[#This Row],['# holds 
per set]]</f>
        <v>27.583333333333332</v>
      </c>
      <c r="D70" s="13">
        <v>331</v>
      </c>
      <c r="E70" s="156"/>
      <c r="F70" s="157"/>
      <c r="G70" s="15">
        <f t="shared" si="2"/>
        <v>0</v>
      </c>
      <c r="H70" s="14">
        <f>Table13[[#This Row],['# holds 
per set]]*Table13[[#This Row],[Qty]]</f>
        <v>0</v>
      </c>
      <c r="I70" s="18">
        <v>12</v>
      </c>
      <c r="J70" s="18">
        <f>Table13[[#This Row],[Qty]]*Table13[[#This Row],['#bolts per set]]</f>
        <v>0</v>
      </c>
      <c r="K70" s="18">
        <v>2875</v>
      </c>
      <c r="L70" s="19">
        <v>12</v>
      </c>
      <c r="M70" s="18">
        <f>Table13[[#This Row],[Qty]]*Table13[[#This Row],['#screws per set]]</f>
        <v>0</v>
      </c>
      <c r="N70" s="18">
        <f>Table13[[#This Row],[Qty]]*Table13[[#This Row],[Weight / unit]]</f>
        <v>0</v>
      </c>
    </row>
    <row r="71" spans="1:14" s="9" customFormat="1" ht="20" customHeight="1" x14ac:dyDescent="0.35">
      <c r="A71" s="14" t="s">
        <v>40</v>
      </c>
      <c r="B71" s="11">
        <v>8</v>
      </c>
      <c r="C71" s="20">
        <f>Table13[[#This Row],[Price AUD
(incl. GST)]]/Table13[[#This Row],['# holds 
per set]]</f>
        <v>37.125</v>
      </c>
      <c r="D71" s="13">
        <v>297</v>
      </c>
      <c r="E71" s="156"/>
      <c r="F71" s="157"/>
      <c r="G71" s="15">
        <f t="shared" si="2"/>
        <v>0</v>
      </c>
      <c r="H71" s="14">
        <f>Table13[[#This Row],['# holds 
per set]]*Table13[[#This Row],[Qty]]</f>
        <v>0</v>
      </c>
      <c r="I71" s="18">
        <v>8</v>
      </c>
      <c r="J71" s="18">
        <f>Table13[[#This Row],[Qty]]*Table13[[#This Row],['#bolts per set]]</f>
        <v>0</v>
      </c>
      <c r="K71" s="18">
        <v>2580</v>
      </c>
      <c r="L71" s="19">
        <v>22</v>
      </c>
      <c r="M71" s="18">
        <f>Table13[[#This Row],[Qty]]*Table13[[#This Row],['#screws per set]]</f>
        <v>0</v>
      </c>
      <c r="N71" s="18">
        <f>Table13[[#This Row],[Qty]]*Table13[[#This Row],[Weight / unit]]</f>
        <v>0</v>
      </c>
    </row>
    <row r="72" spans="1:14" s="9" customFormat="1" ht="20" customHeight="1" x14ac:dyDescent="0.35">
      <c r="A72" s="14" t="s">
        <v>41</v>
      </c>
      <c r="B72" s="11">
        <v>8</v>
      </c>
      <c r="C72" s="20">
        <f>Table13[[#This Row],[Price AUD
(incl. GST)]]/Table13[[#This Row],['# holds 
per set]]</f>
        <v>23.75</v>
      </c>
      <c r="D72" s="13">
        <v>190</v>
      </c>
      <c r="E72" s="156"/>
      <c r="F72" s="157"/>
      <c r="G72" s="15">
        <f t="shared" si="2"/>
        <v>0</v>
      </c>
      <c r="H72" s="14">
        <f>Table13[[#This Row],['# holds 
per set]]*Table13[[#This Row],[Qty]]</f>
        <v>0</v>
      </c>
      <c r="I72" s="18">
        <v>6</v>
      </c>
      <c r="J72" s="18">
        <f>Table13[[#This Row],[Qty]]*Table13[[#This Row],['#bolts per set]]</f>
        <v>0</v>
      </c>
      <c r="K72" s="18">
        <v>1650</v>
      </c>
      <c r="L72" s="19">
        <v>20</v>
      </c>
      <c r="M72" s="18">
        <f>Table13[[#This Row],[Qty]]*Table13[[#This Row],['#screws per set]]</f>
        <v>0</v>
      </c>
      <c r="N72" s="18">
        <f>Table13[[#This Row],[Qty]]*Table13[[#This Row],[Weight / unit]]</f>
        <v>0</v>
      </c>
    </row>
    <row r="73" spans="1:14" s="9" customFormat="1" ht="20" customHeight="1" x14ac:dyDescent="0.35">
      <c r="A73" s="14" t="s">
        <v>9</v>
      </c>
      <c r="B73" s="11">
        <v>12</v>
      </c>
      <c r="C73" s="20">
        <f>Table13[[#This Row],[Price AUD
(incl. GST)]]/Table13[[#This Row],['# holds 
per set]]</f>
        <v>14.583333333333334</v>
      </c>
      <c r="D73" s="13">
        <v>175</v>
      </c>
      <c r="E73" s="156"/>
      <c r="F73" s="157"/>
      <c r="G73" s="15">
        <f t="shared" si="2"/>
        <v>0</v>
      </c>
      <c r="H73" s="14">
        <f>Table13[[#This Row],['# holds 
per set]]*Table13[[#This Row],[Qty]]</f>
        <v>0</v>
      </c>
      <c r="I73" s="18">
        <v>9</v>
      </c>
      <c r="J73" s="18">
        <f>Table13[[#This Row],[Qty]]*Table13[[#This Row],['#bolts per set]]</f>
        <v>0</v>
      </c>
      <c r="K73" s="18">
        <v>1515</v>
      </c>
      <c r="L73" s="19">
        <v>30</v>
      </c>
      <c r="M73" s="18">
        <f>Table13[[#This Row],[Qty]]*Table13[[#This Row],['#screws per set]]</f>
        <v>0</v>
      </c>
      <c r="N73" s="18">
        <f>Table13[[#This Row],[Qty]]*Table13[[#This Row],[Weight / unit]]</f>
        <v>0</v>
      </c>
    </row>
    <row r="74" spans="1:14" s="9" customFormat="1" ht="20" customHeight="1" x14ac:dyDescent="0.35">
      <c r="A74" s="14" t="s">
        <v>10</v>
      </c>
      <c r="B74" s="11">
        <v>12</v>
      </c>
      <c r="C74" s="20">
        <f>Table13[[#This Row],[Price AUD
(incl. GST)]]/Table13[[#This Row],['# holds 
per set]]</f>
        <v>9.25</v>
      </c>
      <c r="D74" s="13">
        <v>111</v>
      </c>
      <c r="E74" s="156"/>
      <c r="F74" s="157"/>
      <c r="G74" s="15">
        <f t="shared" si="2"/>
        <v>0</v>
      </c>
      <c r="H74" s="14">
        <f>Table13[[#This Row],['# holds 
per set]]*Table13[[#This Row],[Qty]]</f>
        <v>0</v>
      </c>
      <c r="I74" s="18">
        <v>0</v>
      </c>
      <c r="J74" s="18">
        <f>Table13[[#This Row],[Qty]]*Table13[[#This Row],['#bolts per set]]</f>
        <v>0</v>
      </c>
      <c r="K74" s="18">
        <v>960</v>
      </c>
      <c r="L74" s="19">
        <v>35</v>
      </c>
      <c r="M74" s="18">
        <f>Table13[[#This Row],[Qty]]*Table13[[#This Row],['#screws per set]]</f>
        <v>0</v>
      </c>
      <c r="N74" s="18">
        <f>Table13[[#This Row],[Qty]]*Table13[[#This Row],[Weight / unit]]</f>
        <v>0</v>
      </c>
    </row>
    <row r="75" spans="1:14" s="9" customFormat="1" ht="20" customHeight="1" x14ac:dyDescent="0.35">
      <c r="A75" s="14" t="s">
        <v>11</v>
      </c>
      <c r="B75" s="11">
        <v>8</v>
      </c>
      <c r="C75" s="20">
        <f>Table13[[#This Row],[Price AUD
(incl. GST)]]/Table13[[#This Row],['# holds 
per set]]</f>
        <v>9.875</v>
      </c>
      <c r="D75" s="13">
        <v>79</v>
      </c>
      <c r="E75" s="156"/>
      <c r="F75" s="157"/>
      <c r="G75" s="15">
        <f t="shared" si="2"/>
        <v>0</v>
      </c>
      <c r="H75" s="14">
        <f>Table13[[#This Row],['# holds 
per set]]*Table13[[#This Row],[Qty]]</f>
        <v>0</v>
      </c>
      <c r="I75" s="18">
        <v>8</v>
      </c>
      <c r="J75" s="18">
        <f>Table13[[#This Row],[Qty]]*Table13[[#This Row],['#bolts per set]]</f>
        <v>0</v>
      </c>
      <c r="K75" s="18">
        <v>680</v>
      </c>
      <c r="L75" s="19">
        <v>7</v>
      </c>
      <c r="M75" s="18">
        <f>Table13[[#This Row],[Qty]]*Table13[[#This Row],['#screws per set]]</f>
        <v>0</v>
      </c>
      <c r="N75" s="18">
        <f>Table13[[#This Row],[Qty]]*Table13[[#This Row],[Weight / unit]]</f>
        <v>0</v>
      </c>
    </row>
    <row r="76" spans="1:14" s="9" customFormat="1" ht="20" customHeight="1" x14ac:dyDescent="0.35">
      <c r="A76" s="14" t="s">
        <v>12</v>
      </c>
      <c r="B76" s="11">
        <v>10</v>
      </c>
      <c r="C76" s="20">
        <f>Table13[[#This Row],[Price AUD
(incl. GST)]]/Table13[[#This Row],['# holds 
per set]]</f>
        <v>5.8</v>
      </c>
      <c r="D76" s="13">
        <v>58</v>
      </c>
      <c r="E76" s="156"/>
      <c r="F76" s="157"/>
      <c r="G76" s="15">
        <f>E76*D76</f>
        <v>0</v>
      </c>
      <c r="H76" s="14">
        <f>Table13[[#This Row],['# holds 
per set]]*Table13[[#This Row],[Qty]]</f>
        <v>0</v>
      </c>
      <c r="I76" s="18">
        <v>9</v>
      </c>
      <c r="J76" s="18">
        <f>Table13[[#This Row],[Qty]]*Table13[[#This Row],['#bolts per set]]</f>
        <v>0</v>
      </c>
      <c r="K76" s="18">
        <v>500</v>
      </c>
      <c r="L76" s="19">
        <v>9</v>
      </c>
      <c r="M76" s="18">
        <f>Table13[[#This Row],[Qty]]*Table13[[#This Row],['#screws per set]]</f>
        <v>0</v>
      </c>
      <c r="N76" s="18">
        <f>Table13[[#This Row],[Qty]]*Table13[[#This Row],[Weight / unit]]</f>
        <v>0</v>
      </c>
    </row>
    <row r="77" spans="1:14" s="9" customFormat="1" ht="20" customHeight="1" x14ac:dyDescent="0.35">
      <c r="A77" s="14" t="s">
        <v>13</v>
      </c>
      <c r="B77" s="11">
        <v>12</v>
      </c>
      <c r="C77" s="20">
        <f>Table13[[#This Row],[Price AUD
(incl. GST)]]/Table13[[#This Row],['# holds 
per set]]</f>
        <v>4</v>
      </c>
      <c r="D77" s="13">
        <v>48</v>
      </c>
      <c r="E77" s="156"/>
      <c r="F77" s="157"/>
      <c r="G77" s="15">
        <f>E77*D77</f>
        <v>0</v>
      </c>
      <c r="H77" s="14">
        <f>Table13[[#This Row],['# holds 
per set]]*Table13[[#This Row],[Qty]]</f>
        <v>0</v>
      </c>
      <c r="I77" s="18">
        <v>3</v>
      </c>
      <c r="J77" s="18">
        <f>Table13[[#This Row],[Qty]]*Table13[[#This Row],['#bolts per set]]</f>
        <v>0</v>
      </c>
      <c r="K77" s="18">
        <v>280</v>
      </c>
      <c r="L77" s="19">
        <v>21</v>
      </c>
      <c r="M77" s="18">
        <f>Table13[[#This Row],[Qty]]*Table13[[#This Row],['#screws per set]]</f>
        <v>0</v>
      </c>
      <c r="N77" s="18">
        <f>Table13[[#This Row],[Qty]]*Table13[[#This Row],[Weight / unit]]</f>
        <v>0</v>
      </c>
    </row>
    <row r="78" spans="1:14" s="9" customFormat="1" ht="20" customHeight="1" x14ac:dyDescent="0.35">
      <c r="A78" s="14" t="s">
        <v>14</v>
      </c>
      <c r="B78" s="11">
        <v>8</v>
      </c>
      <c r="C78" s="20">
        <f>Table13[[#This Row],[Price AUD
(incl. GST)]]/Table13[[#This Row],['# holds 
per set]]</f>
        <v>4</v>
      </c>
      <c r="D78" s="13">
        <v>32</v>
      </c>
      <c r="E78" s="156"/>
      <c r="F78" s="157"/>
      <c r="G78" s="15">
        <f>E78*D78</f>
        <v>0</v>
      </c>
      <c r="H78" s="14">
        <f>Table13[[#This Row],['# holds 
per set]]*Table13[[#This Row],[Qty]]</f>
        <v>0</v>
      </c>
      <c r="I78" s="18">
        <v>0</v>
      </c>
      <c r="J78" s="18">
        <f>Table13[[#This Row],[Qty]]*Table13[[#This Row],['#bolts per set]]</f>
        <v>0</v>
      </c>
      <c r="K78" s="18">
        <v>85</v>
      </c>
      <c r="L78" s="19">
        <v>16</v>
      </c>
      <c r="M78" s="18">
        <f>Table13[[#This Row],[Qty]]*Table13[[#This Row],['#screws per set]]</f>
        <v>0</v>
      </c>
      <c r="N78" s="18">
        <f>Table13[[#This Row],[Qty]]*Table13[[#This Row],[Weight / unit]]</f>
        <v>0</v>
      </c>
    </row>
    <row r="79" spans="1:14" s="9" customFormat="1" ht="20" customHeight="1" x14ac:dyDescent="0.35">
      <c r="A79" s="14" t="s">
        <v>15</v>
      </c>
      <c r="B79" s="11">
        <v>12</v>
      </c>
      <c r="C79" s="20">
        <f>Table13[[#This Row],[Price AUD
(incl. GST)]]/Table13[[#This Row],['# holds 
per set]]</f>
        <v>4</v>
      </c>
      <c r="D79" s="13">
        <v>48</v>
      </c>
      <c r="E79" s="156"/>
      <c r="F79" s="157"/>
      <c r="G79" s="15">
        <f t="shared" ref="G79:G82" si="15">E79*D79</f>
        <v>0</v>
      </c>
      <c r="H79" s="14">
        <f>Table13[[#This Row],['# holds 
per set]]*Table13[[#This Row],[Qty]]</f>
        <v>0</v>
      </c>
      <c r="I79" s="18">
        <v>2</v>
      </c>
      <c r="J79" s="18">
        <f>Table13[[#This Row],[Qty]]*Table13[[#This Row],['#bolts per set]]</f>
        <v>0</v>
      </c>
      <c r="K79" s="18">
        <v>215</v>
      </c>
      <c r="L79" s="19">
        <v>23</v>
      </c>
      <c r="M79" s="18">
        <f>Table13[[#This Row],[Qty]]*Table13[[#This Row],['#screws per set]]</f>
        <v>0</v>
      </c>
      <c r="N79" s="18">
        <f>Table13[[#This Row],[Qty]]*Table13[[#This Row],[Weight / unit]]</f>
        <v>0</v>
      </c>
    </row>
    <row r="80" spans="1:14" s="9" customFormat="1" ht="20" customHeight="1" x14ac:dyDescent="0.35">
      <c r="A80" s="14" t="s">
        <v>16</v>
      </c>
      <c r="B80" s="11">
        <v>12</v>
      </c>
      <c r="C80" s="20">
        <f>Table13[[#This Row],[Price AUD
(incl. GST)]]/Table13[[#This Row],['# holds 
per set]]</f>
        <v>4</v>
      </c>
      <c r="D80" s="13">
        <v>48</v>
      </c>
      <c r="E80" s="156"/>
      <c r="F80" s="157"/>
      <c r="G80" s="15">
        <f t="shared" si="15"/>
        <v>0</v>
      </c>
      <c r="H80" s="14">
        <f>Table13[[#This Row],['# holds 
per set]]*Table13[[#This Row],[Qty]]</f>
        <v>0</v>
      </c>
      <c r="I80" s="18">
        <v>0</v>
      </c>
      <c r="J80" s="18">
        <f>Table13[[#This Row],[Qty]]*Table13[[#This Row],['#bolts per set]]</f>
        <v>0</v>
      </c>
      <c r="K80" s="18">
        <v>140</v>
      </c>
      <c r="L80" s="19">
        <v>25</v>
      </c>
      <c r="M80" s="18">
        <f>Table13[[#This Row],[Qty]]*Table13[[#This Row],['#screws per set]]</f>
        <v>0</v>
      </c>
      <c r="N80" s="18">
        <f>Table13[[#This Row],[Qty]]*Table13[[#This Row],[Weight / unit]]</f>
        <v>0</v>
      </c>
    </row>
    <row r="81" spans="1:14" s="9" customFormat="1" ht="20" customHeight="1" x14ac:dyDescent="0.35">
      <c r="A81" s="14" t="s">
        <v>17</v>
      </c>
      <c r="B81" s="11">
        <v>12</v>
      </c>
      <c r="C81" s="20">
        <f>Table13[[#This Row],[Price AUD
(incl. GST)]]/Table13[[#This Row],['# holds 
per set]]</f>
        <v>4</v>
      </c>
      <c r="D81" s="13">
        <v>48</v>
      </c>
      <c r="E81" s="156"/>
      <c r="F81" s="157"/>
      <c r="G81" s="15">
        <f t="shared" si="15"/>
        <v>0</v>
      </c>
      <c r="H81" s="14">
        <f>Table13[[#This Row],['# holds 
per set]]*Table13[[#This Row],[Qty]]</f>
        <v>0</v>
      </c>
      <c r="I81" s="18">
        <v>1</v>
      </c>
      <c r="J81" s="18">
        <f>Table13[[#This Row],[Qty]]*Table13[[#This Row],['#bolts per set]]</f>
        <v>0</v>
      </c>
      <c r="K81" s="18">
        <v>415</v>
      </c>
      <c r="L81" s="19">
        <v>31</v>
      </c>
      <c r="M81" s="18">
        <f>Table13[[#This Row],[Qty]]*Table13[[#This Row],['#screws per set]]</f>
        <v>0</v>
      </c>
      <c r="N81" s="18">
        <f>Table13[[#This Row],[Qty]]*Table13[[#This Row],[Weight / unit]]</f>
        <v>0</v>
      </c>
    </row>
    <row r="82" spans="1:14" s="9" customFormat="1" ht="20" customHeight="1" x14ac:dyDescent="0.35">
      <c r="A82" s="14" t="s">
        <v>299</v>
      </c>
      <c r="B82" s="11">
        <v>15</v>
      </c>
      <c r="C82" s="20">
        <f>Table13[[#This Row],[Price AUD
(incl. GST)]]/Table13[[#This Row],['# holds 
per set]]</f>
        <v>13.066666666666666</v>
      </c>
      <c r="D82" s="13">
        <v>196</v>
      </c>
      <c r="E82" s="156"/>
      <c r="F82" s="157"/>
      <c r="G82" s="15">
        <f t="shared" si="15"/>
        <v>0</v>
      </c>
      <c r="H82" s="14">
        <f>Table13[[#This Row],['# holds 
per set]]*Table13[[#This Row],[Qty]]</f>
        <v>0</v>
      </c>
      <c r="I82" s="18">
        <v>11</v>
      </c>
      <c r="J82" s="18">
        <f>Table13[[#This Row],[Qty]]*Table13[[#This Row],['#bolts per set]]</f>
        <v>0</v>
      </c>
      <c r="K82" s="18">
        <v>1700</v>
      </c>
      <c r="L82" s="19">
        <v>20</v>
      </c>
      <c r="M82" s="18">
        <f>Table13[[#This Row],[Qty]]*Table13[[#This Row],['#screws per set]]</f>
        <v>0</v>
      </c>
      <c r="N82" s="18">
        <f>Table13[[#This Row],[Qty]]*Table13[[#This Row],[Weight / unit]]</f>
        <v>0</v>
      </c>
    </row>
    <row r="83" spans="1:14" s="9" customFormat="1" ht="20" customHeight="1" x14ac:dyDescent="0.35">
      <c r="A83" s="14" t="s">
        <v>319</v>
      </c>
      <c r="B83" s="11">
        <v>8</v>
      </c>
      <c r="C83" s="20">
        <f>Table13[[#This Row],[Price AUD
(incl. GST)]]/Table13[[#This Row],['# holds 
per set]]</f>
        <v>20.5</v>
      </c>
      <c r="D83" s="13">
        <v>164</v>
      </c>
      <c r="E83" s="156"/>
      <c r="F83" s="157"/>
      <c r="G83" s="15">
        <f t="shared" ref="G83" si="16">E83*D83</f>
        <v>0</v>
      </c>
      <c r="H83" s="14">
        <f>Table13[[#This Row],['# holds 
per set]]*Table13[[#This Row],[Qty]]</f>
        <v>0</v>
      </c>
      <c r="I83" s="18">
        <v>0</v>
      </c>
      <c r="J83" s="18">
        <f>Table13[[#This Row],[Qty]]*Table13[[#This Row],['#bolts per set]]</f>
        <v>0</v>
      </c>
      <c r="K83" s="18">
        <v>1425</v>
      </c>
      <c r="L83" s="19">
        <v>32</v>
      </c>
      <c r="M83" s="18">
        <f>Table13[[#This Row],[Qty]]*Table13[[#This Row],['#screws per set]]</f>
        <v>0</v>
      </c>
      <c r="N83" s="18">
        <f>Table13[[#This Row],[Qty]]*Table13[[#This Row],[Weight / unit]]</f>
        <v>0</v>
      </c>
    </row>
    <row r="84" spans="1:14" s="9" customFormat="1" ht="6" customHeight="1" x14ac:dyDescent="0.35">
      <c r="A84" s="23"/>
      <c r="B84" s="23"/>
      <c r="C84" s="24"/>
      <c r="D84" s="25"/>
      <c r="E84" s="23"/>
      <c r="F84" s="34"/>
      <c r="G84" s="26"/>
      <c r="H84" s="27"/>
      <c r="I84" s="28"/>
      <c r="J84" s="28"/>
      <c r="K84" s="29"/>
      <c r="L84" s="30"/>
      <c r="M84" s="29"/>
      <c r="N84" s="28"/>
    </row>
    <row r="85" spans="1:14" s="9" customFormat="1" ht="20" customHeight="1" x14ac:dyDescent="0.35">
      <c r="A85" s="14" t="s">
        <v>134</v>
      </c>
      <c r="B85" s="11">
        <v>20</v>
      </c>
      <c r="C85" s="20">
        <f>Table13[[#This Row],[Price AUD
(incl. GST)]]/Table13[[#This Row],['# holds 
per set]]</f>
        <v>23.5</v>
      </c>
      <c r="D85" s="13">
        <f>IF(Table13[[#This Row],[Options]]="",470,
IF(OR(Table13[[#This Row],[Options]]="EASY | 30°", Table13[[#This Row],[Options]]="MODERATE | 35°", Table13[[#This Row],[Options]]="ADVANCED | 40°"),500,
IF(OR(Table13[[#This Row],[Options]]="EASY | 35°", Table13[[#This Row],[Options]]="MODERATE | 40°", Table13[[#This Row],[Options]]="ADVANCED | 45°"),530,
IF(OR(Table13[[#This Row],[Options]]="EASY | 40°", Table13[[#This Row],[Options]]="MODERATE | 45°"),560,
IF(Table13[[#This Row],[Options]]="EASY | 45°",595,
470)))))</f>
        <v>470</v>
      </c>
      <c r="E85" s="156"/>
      <c r="F85" s="157"/>
      <c r="G85" s="15">
        <f t="shared" ref="G85:G89" si="17">E85*D85</f>
        <v>0</v>
      </c>
      <c r="H85" s="14">
        <f>Table13[[#This Row],['# holds 
per set]]*Table13[[#This Row],[Qty]]</f>
        <v>0</v>
      </c>
      <c r="I85" s="18">
        <v>0</v>
      </c>
      <c r="J85" s="18">
        <f>Table13[[#This Row],[Qty]]*Table13[[#This Row],['#bolts per set]]</f>
        <v>0</v>
      </c>
      <c r="K85" s="18">
        <v>4100</v>
      </c>
      <c r="L85" s="35">
        <v>0</v>
      </c>
      <c r="M85" s="18">
        <f>Table13[[#This Row],[Qty]]*Table13[[#This Row],['#screws per set]]</f>
        <v>0</v>
      </c>
      <c r="N85" s="18">
        <f>Table13[[#This Row],[Qty]]*Table13[[#This Row],[Weight / unit]]</f>
        <v>0</v>
      </c>
    </row>
    <row r="86" spans="1:14" s="9" customFormat="1" ht="20" customHeight="1" x14ac:dyDescent="0.35">
      <c r="A86" s="14" t="s">
        <v>135</v>
      </c>
      <c r="B86" s="11">
        <v>40</v>
      </c>
      <c r="C86" s="20">
        <f>Table13[[#This Row],[Price AUD
(incl. GST)]]/Table13[[#This Row],['# holds 
per set]]</f>
        <v>23.5</v>
      </c>
      <c r="D86" s="13">
        <f>IF(Table13[[#This Row],[Options]]="",940,
IF(OR(Table13[[#This Row],[Options]]="EASY | 30°", Table13[[#This Row],[Options]]="MODERATE | 35°", Table13[[#This Row],[Options]]="ADVANCED | 40°"),1000,
IF(OR(Table13[[#This Row],[Options]]="EASY | 35°", Table13[[#This Row],[Options]]="MODERATE | 40°", Table13[[#This Row],[Options]]="ADVANCED | 45°"),1060,
IF(OR(Table13[[#This Row],[Options]]="EASY | 40°", Table13[[#This Row],[Options]]="MODERATE | 45°"),1120,
IF(Table13[[#This Row],[Options]]="EASY | 45°",1185,
940)))))</f>
        <v>940</v>
      </c>
      <c r="E86" s="156"/>
      <c r="F86" s="157"/>
      <c r="G86" s="15">
        <f t="shared" si="17"/>
        <v>0</v>
      </c>
      <c r="H86" s="14">
        <f>Table13[[#This Row],['# holds 
per set]]*Table13[[#This Row],[Qty]]</f>
        <v>0</v>
      </c>
      <c r="I86" s="18">
        <v>0</v>
      </c>
      <c r="J86" s="18">
        <f>Table13[[#This Row],[Qty]]*Table13[[#This Row],['#bolts per set]]</f>
        <v>0</v>
      </c>
      <c r="K86" s="18">
        <v>8150</v>
      </c>
      <c r="L86" s="35">
        <v>0</v>
      </c>
      <c r="M86" s="18">
        <f>Table13[[#This Row],[Qty]]*Table13[[#This Row],['#screws per set]]</f>
        <v>0</v>
      </c>
      <c r="N86" s="18">
        <f>Table13[[#This Row],[Qty]]*Table13[[#This Row],[Weight / unit]]</f>
        <v>0</v>
      </c>
    </row>
    <row r="87" spans="1:14" s="9" customFormat="1" ht="20" customHeight="1" x14ac:dyDescent="0.35">
      <c r="A87" s="14" t="s">
        <v>136</v>
      </c>
      <c r="B87" s="11">
        <v>60</v>
      </c>
      <c r="C87" s="20">
        <f>Table13[[#This Row],[Price AUD
(incl. GST)]]/Table13[[#This Row],['# holds 
per set]]</f>
        <v>26</v>
      </c>
      <c r="D87" s="13">
        <f>IF(Table13[[#This Row],[Options]]="",1560,
IF(OR(Table13[[#This Row],[Options]]="EASY | 30°", Table13[[#This Row],[Options]]="MODERATE | 35°", Table13[[#This Row],[Options]]="ADVANCED | 40°"),1620,
IF(OR(Table13[[#This Row],[Options]]="EASY | 35°", Table13[[#This Row],[Options]]="MODERATE | 40°", Table13[[#This Row],[Options]]="ADVANCED | 45°"),1680,
IF(OR(Table13[[#This Row],[Options]]="EASY | 40°", Table13[[#This Row],[Options]]="MODERATE | 45°"),1750,
IF(Table13[[#This Row],[Options]]="EASY | 45°",1810,
1560)))))</f>
        <v>1560</v>
      </c>
      <c r="E87" s="156"/>
      <c r="F87" s="157"/>
      <c r="G87" s="15">
        <f t="shared" si="17"/>
        <v>0</v>
      </c>
      <c r="H87" s="14">
        <f>Table13[[#This Row],['# holds 
per set]]*Table13[[#This Row],[Qty]]</f>
        <v>0</v>
      </c>
      <c r="I87" s="18">
        <v>0</v>
      </c>
      <c r="J87" s="18">
        <f>Table13[[#This Row],[Qty]]*Table13[[#This Row],['#bolts per set]]</f>
        <v>0</v>
      </c>
      <c r="K87" s="18">
        <v>13700</v>
      </c>
      <c r="L87" s="35">
        <v>0</v>
      </c>
      <c r="M87" s="18">
        <f>Table13[[#This Row],[Qty]]*Table13[[#This Row],['#screws per set]]</f>
        <v>0</v>
      </c>
      <c r="N87" s="18">
        <f>Table13[[#This Row],[Qty]]*Table13[[#This Row],[Weight / unit]]</f>
        <v>0</v>
      </c>
    </row>
    <row r="88" spans="1:14" s="9" customFormat="1" ht="20" customHeight="1" x14ac:dyDescent="0.35">
      <c r="A88" s="14" t="s">
        <v>193</v>
      </c>
      <c r="B88" s="11">
        <v>100</v>
      </c>
      <c r="C88" s="20">
        <f>Table13[[#This Row],[Price AUD
(incl. GST)]]/Table13[[#This Row],['# holds 
per set]]</f>
        <v>25.3</v>
      </c>
      <c r="D88" s="13">
        <f>IF(Table13[[#This Row],[Options]]="",2530,
IF(OR(Table13[[#This Row],[Options]]="EASY | 30°", Table13[[#This Row],[Options]]="MODERATE | 35°", Table13[[#This Row],[Options]]="ADVANCED | 40°"),2615,
IF(OR(Table13[[#This Row],[Options]]="EASY | 35°", Table13[[#This Row],[Options]]="MODERATE | 40°", Table13[[#This Row],[Options]]="ADVANCED | 45°"),2740,
IF(OR(Table13[[#This Row],[Options]]="EASY | 40°", Table13[[#This Row],[Options]]="MODERATE | 45°"),2870,
IF(Table13[[#This Row],[Options]]="EASY | 45°",2990,
2530)))))</f>
        <v>2530</v>
      </c>
      <c r="E88" s="156"/>
      <c r="F88" s="157"/>
      <c r="G88" s="15">
        <f t="shared" ref="G88" si="18">E88*D88</f>
        <v>0</v>
      </c>
      <c r="H88" s="14">
        <f>Table13[[#This Row],['# holds 
per set]]*Table13[[#This Row],[Qty]]</f>
        <v>0</v>
      </c>
      <c r="I88" s="18">
        <v>0</v>
      </c>
      <c r="J88" s="18">
        <f>Table13[[#This Row],[Qty]]*Table13[[#This Row],['#bolts per set]]</f>
        <v>0</v>
      </c>
      <c r="K88" s="18">
        <v>21850</v>
      </c>
      <c r="L88" s="35">
        <v>0</v>
      </c>
      <c r="M88" s="18">
        <f>Table13[[#This Row],[Qty]]*Table13[[#This Row],['#screws per set]]</f>
        <v>0</v>
      </c>
      <c r="N88" s="18">
        <f>Table13[[#This Row],[Qty]]*Table13[[#This Row],[Weight / unit]]</f>
        <v>0</v>
      </c>
    </row>
    <row r="89" spans="1:14" s="9" customFormat="1" ht="20" customHeight="1" x14ac:dyDescent="0.35">
      <c r="A89" s="14" t="s">
        <v>39</v>
      </c>
      <c r="B89" s="11">
        <v>5</v>
      </c>
      <c r="C89" s="20">
        <f>Table13[[#This Row],[Price AUD
(incl. GST)]]/Table13[[#This Row],['# holds 
per set]]</f>
        <v>63.4</v>
      </c>
      <c r="D89" s="13">
        <v>317</v>
      </c>
      <c r="E89" s="156"/>
      <c r="F89" s="157"/>
      <c r="G89" s="15">
        <f t="shared" si="17"/>
        <v>0</v>
      </c>
      <c r="H89" s="14">
        <f>Table13[[#This Row],['# holds 
per set]]*Table13[[#This Row],[Qty]]</f>
        <v>0</v>
      </c>
      <c r="I89" s="18">
        <v>5</v>
      </c>
      <c r="J89" s="18">
        <f>Table13[[#This Row],[Qty]]*Table13[[#This Row],['#bolts per set]]</f>
        <v>0</v>
      </c>
      <c r="K89" s="18">
        <v>2750</v>
      </c>
      <c r="L89" s="35">
        <v>5</v>
      </c>
      <c r="M89" s="18">
        <f>Table13[[#This Row],[Qty]]*Table13[[#This Row],['#screws per set]]</f>
        <v>0</v>
      </c>
      <c r="N89" s="18">
        <f>Table13[[#This Row],[Qty]]*Table13[[#This Row],[Weight / unit]]</f>
        <v>0</v>
      </c>
    </row>
    <row r="90" spans="1:14" s="9" customFormat="1" ht="6" customHeight="1" x14ac:dyDescent="0.35">
      <c r="A90" s="23"/>
      <c r="B90" s="23"/>
      <c r="C90" s="24"/>
      <c r="D90" s="25"/>
      <c r="E90" s="23"/>
      <c r="F90" s="34"/>
      <c r="G90" s="26"/>
      <c r="H90" s="27"/>
      <c r="I90" s="28"/>
      <c r="J90" s="28"/>
      <c r="K90" s="29"/>
      <c r="L90" s="30"/>
      <c r="M90" s="29"/>
      <c r="N90" s="28"/>
    </row>
    <row r="91" spans="1:14" s="9" customFormat="1" ht="20" customHeight="1" x14ac:dyDescent="0.35">
      <c r="A91" s="14" t="s">
        <v>18</v>
      </c>
      <c r="B91" s="11">
        <v>4</v>
      </c>
      <c r="C91" s="20">
        <f>Table13[[#This Row],[Price AUD
(incl. GST)]]/Table13[[#This Row],['# holds 
per set]]</f>
        <v>48.25</v>
      </c>
      <c r="D91" s="13">
        <v>193</v>
      </c>
      <c r="E91" s="156"/>
      <c r="F91" s="157"/>
      <c r="G91" s="15">
        <f t="shared" ref="G91" si="19">E91*D91</f>
        <v>0</v>
      </c>
      <c r="H91" s="14">
        <f>Table13[[#This Row],['# holds 
per set]]*Table13[[#This Row],[Qty]]</f>
        <v>0</v>
      </c>
      <c r="I91" s="18">
        <v>4</v>
      </c>
      <c r="J91" s="18">
        <f>Table13[[#This Row],[Qty]]*Table13[[#This Row],['#bolts per set]]</f>
        <v>0</v>
      </c>
      <c r="K91" s="17">
        <v>1675</v>
      </c>
      <c r="L91" s="36">
        <v>12</v>
      </c>
      <c r="M91" s="17">
        <f>Table13[[#This Row],[Qty]]*Table13[[#This Row],['#screws per set]]</f>
        <v>0</v>
      </c>
      <c r="N91" s="17">
        <f>Table13[[#This Row],[Qty]]*Table13[[#This Row],[Weight / unit]]</f>
        <v>0</v>
      </c>
    </row>
    <row r="92" spans="1:14" s="9" customFormat="1" ht="6" customHeight="1" x14ac:dyDescent="0.35">
      <c r="A92" s="23"/>
      <c r="B92" s="23"/>
      <c r="C92" s="24"/>
      <c r="D92" s="25"/>
      <c r="E92" s="23"/>
      <c r="F92" s="34"/>
      <c r="G92" s="26"/>
      <c r="H92" s="27"/>
      <c r="I92" s="28"/>
      <c r="J92" s="28"/>
      <c r="K92" s="29"/>
      <c r="L92" s="30"/>
      <c r="M92" s="29"/>
      <c r="N92" s="28"/>
    </row>
    <row r="93" spans="1:14" s="9" customFormat="1" ht="20" customHeight="1" x14ac:dyDescent="0.35">
      <c r="A93" s="10" t="s">
        <v>113</v>
      </c>
      <c r="B93" s="11">
        <v>1</v>
      </c>
      <c r="C93" s="22">
        <f>Table13[[#This Row],[Price AUD
(incl. GST)]]/Table13[[#This Row],['# holds 
per set]]</f>
        <v>29</v>
      </c>
      <c r="D93" s="13">
        <v>29</v>
      </c>
      <c r="E93" s="156"/>
      <c r="F93" s="157"/>
      <c r="G93" s="15">
        <f>E93*D93</f>
        <v>0</v>
      </c>
      <c r="H93" s="16">
        <f>Table13[[#This Row],['# holds 
per set]]*Table13[[#This Row],[Qty]]</f>
        <v>0</v>
      </c>
      <c r="I93" s="17">
        <v>2</v>
      </c>
      <c r="J93" s="17">
        <f>Table13[[#This Row],[Qty]]*Table13[[#This Row],['#bolts per set]]</f>
        <v>0</v>
      </c>
      <c r="K93" s="17">
        <v>245</v>
      </c>
      <c r="L93" s="36">
        <v>0</v>
      </c>
      <c r="M93" s="17">
        <f>Table13[[#This Row],[Qty]]*Table13[[#This Row],['#screws per set]]</f>
        <v>0</v>
      </c>
      <c r="N93" s="17">
        <f>Table13[[#This Row],[Qty]]*Table13[[#This Row],[Weight / unit]]</f>
        <v>0</v>
      </c>
    </row>
    <row r="94" spans="1:14" s="9" customFormat="1" ht="20" customHeight="1" x14ac:dyDescent="0.35">
      <c r="A94" s="10" t="s">
        <v>175</v>
      </c>
      <c r="B94" s="11">
        <v>1</v>
      </c>
      <c r="C94" s="22">
        <f>Table13[[#This Row],[Price AUD
(incl. GST)]]/Table13[[#This Row],['# holds 
per set]]</f>
        <v>27</v>
      </c>
      <c r="D94" s="13">
        <v>27</v>
      </c>
      <c r="E94" s="156"/>
      <c r="F94" s="157"/>
      <c r="G94" s="15">
        <f>E94*D94</f>
        <v>0</v>
      </c>
      <c r="H94" s="16">
        <f>Table13[[#This Row],['# holds 
per set]]*Table13[[#This Row],[Qty]]</f>
        <v>0</v>
      </c>
      <c r="I94" s="17">
        <v>2</v>
      </c>
      <c r="J94" s="17">
        <f>Table13[[#This Row],[Qty]]*Table13[[#This Row],['#bolts per set]]</f>
        <v>0</v>
      </c>
      <c r="K94" s="17">
        <v>230</v>
      </c>
      <c r="L94" s="36">
        <v>0</v>
      </c>
      <c r="M94" s="17">
        <f>Table13[[#This Row],[Qty]]*Table13[[#This Row],['#screws per set]]</f>
        <v>0</v>
      </c>
      <c r="N94" s="17">
        <f>Table13[[#This Row],[Qty]]*Table13[[#This Row],[Weight / unit]]</f>
        <v>0</v>
      </c>
    </row>
    <row r="95" spans="1:14" s="9" customFormat="1" ht="20" customHeight="1" x14ac:dyDescent="0.35">
      <c r="A95" s="10" t="s">
        <v>114</v>
      </c>
      <c r="B95" s="11">
        <v>1</v>
      </c>
      <c r="C95" s="22">
        <f>Table13[[#This Row],[Price AUD
(incl. GST)]]/Table13[[#This Row],['# holds 
per set]]</f>
        <v>22</v>
      </c>
      <c r="D95" s="13">
        <v>22</v>
      </c>
      <c r="E95" s="156"/>
      <c r="F95" s="157"/>
      <c r="G95" s="15">
        <f>E95*D95</f>
        <v>0</v>
      </c>
      <c r="H95" s="16">
        <f>Table13[[#This Row],['# holds 
per set]]*Table13[[#This Row],[Qty]]</f>
        <v>0</v>
      </c>
      <c r="I95" s="17">
        <v>2</v>
      </c>
      <c r="J95" s="17">
        <f>Table13[[#This Row],[Qty]]*Table13[[#This Row],['#bolts per set]]</f>
        <v>0</v>
      </c>
      <c r="K95" s="17">
        <v>185</v>
      </c>
      <c r="L95" s="36">
        <v>2</v>
      </c>
      <c r="M95" s="17">
        <f>Table13[[#This Row],[Qty]]*Table13[[#This Row],['#screws per set]]</f>
        <v>0</v>
      </c>
      <c r="N95" s="17">
        <f>Table13[[#This Row],[Qty]]*Table13[[#This Row],[Weight / unit]]</f>
        <v>0</v>
      </c>
    </row>
    <row r="96" spans="1:14" s="9" customFormat="1" ht="6" customHeight="1" x14ac:dyDescent="0.35">
      <c r="A96" s="23"/>
      <c r="B96" s="23"/>
      <c r="C96" s="24"/>
      <c r="D96" s="25"/>
      <c r="E96" s="23"/>
      <c r="F96" s="34"/>
      <c r="G96" s="26"/>
      <c r="H96" s="27"/>
      <c r="I96" s="28"/>
      <c r="J96" s="28"/>
      <c r="K96" s="29"/>
      <c r="L96" s="30"/>
      <c r="M96" s="29"/>
      <c r="N96" s="28"/>
    </row>
    <row r="97" spans="1:14" s="9" customFormat="1" ht="20" customHeight="1" x14ac:dyDescent="0.35">
      <c r="A97" s="14" t="s">
        <v>70</v>
      </c>
      <c r="B97" s="11">
        <v>1</v>
      </c>
      <c r="C97" s="20">
        <f>Table13[[#This Row],[Price AUD
(incl. GST)]]/Table13[[#This Row],['# holds 
per set]]</f>
        <v>4</v>
      </c>
      <c r="D97" s="13">
        <v>4</v>
      </c>
      <c r="E97" s="156"/>
      <c r="F97" s="37" t="s">
        <v>31</v>
      </c>
      <c r="G97" s="15">
        <f>E97*D97</f>
        <v>0</v>
      </c>
      <c r="H97" s="14">
        <f>Table13[[#This Row],['# holds 
per set]]*Table13[[#This Row],[Qty]]</f>
        <v>0</v>
      </c>
      <c r="I97" s="18">
        <v>0</v>
      </c>
      <c r="J97" s="18">
        <f>Table13[[#This Row],[Qty]]*Table13[[#This Row],['#bolts per set]]</f>
        <v>0</v>
      </c>
      <c r="K97" s="18">
        <v>10</v>
      </c>
      <c r="L97" s="35">
        <v>0</v>
      </c>
      <c r="M97" s="18">
        <f>Table13[[#This Row],[Qty]]*Table13[[#This Row],['#screws per set]]</f>
        <v>0</v>
      </c>
      <c r="N97" s="18">
        <f>Table13[[#This Row],[Qty]]*Table13[[#This Row],[Weight / unit]]</f>
        <v>0</v>
      </c>
    </row>
    <row r="98" spans="1:14" s="9" customFormat="1" ht="20" customHeight="1" x14ac:dyDescent="0.35">
      <c r="A98" s="14" t="s">
        <v>71</v>
      </c>
      <c r="B98" s="11">
        <v>1</v>
      </c>
      <c r="C98" s="20">
        <f>Table13[[#This Row],[Price AUD
(incl. GST)]]/Table13[[#This Row],['# holds 
per set]]</f>
        <v>4</v>
      </c>
      <c r="D98" s="13">
        <v>4</v>
      </c>
      <c r="E98" s="156"/>
      <c r="F98" s="37" t="s">
        <v>31</v>
      </c>
      <c r="G98" s="15">
        <f>E98*D98</f>
        <v>0</v>
      </c>
      <c r="H98" s="14">
        <f>Table13[[#This Row],['# holds 
per set]]*Table13[[#This Row],[Qty]]</f>
        <v>0</v>
      </c>
      <c r="I98" s="18">
        <v>0</v>
      </c>
      <c r="J98" s="18">
        <f>Table13[[#This Row],[Qty]]*Table13[[#This Row],['#bolts per set]]</f>
        <v>0</v>
      </c>
      <c r="K98" s="18">
        <v>12</v>
      </c>
      <c r="L98" s="35">
        <v>0</v>
      </c>
      <c r="M98" s="18">
        <f>Table13[[#This Row],[Qty]]*Table13[[#This Row],['#screws per set]]</f>
        <v>0</v>
      </c>
      <c r="N98" s="18">
        <f>Table13[[#This Row],[Qty]]*Table13[[#This Row],[Weight / unit]]</f>
        <v>0</v>
      </c>
    </row>
    <row r="99" spans="1:14" s="9" customFormat="1" ht="20" customHeight="1" x14ac:dyDescent="0.35">
      <c r="A99" s="14" t="s">
        <v>72</v>
      </c>
      <c r="B99" s="11">
        <v>1</v>
      </c>
      <c r="C99" s="20">
        <f>Table13[[#This Row],[Price AUD
(incl. GST)]]/Table13[[#This Row],['# holds 
per set]]</f>
        <v>43</v>
      </c>
      <c r="D99" s="13">
        <v>43</v>
      </c>
      <c r="E99" s="156"/>
      <c r="F99" s="157"/>
      <c r="G99" s="15">
        <f t="shared" ref="G99" si="20">E99*D99</f>
        <v>0</v>
      </c>
      <c r="H99" s="14">
        <f>Table13[[#This Row],['# holds 
per set]]*Table13[[#This Row],[Qty]]</f>
        <v>0</v>
      </c>
      <c r="I99" s="18">
        <v>1</v>
      </c>
      <c r="J99" s="18">
        <f>Table13[[#This Row],[Qty]]*Table13[[#This Row],['#bolts per set]]</f>
        <v>0</v>
      </c>
      <c r="K99" s="18">
        <v>370</v>
      </c>
      <c r="L99" s="35">
        <v>1</v>
      </c>
      <c r="M99" s="18">
        <f>Table13[[#This Row],[Qty]]*Table13[[#This Row],['#screws per set]]</f>
        <v>0</v>
      </c>
      <c r="N99" s="18">
        <f>Table13[[#This Row],[Qty]]*Table13[[#This Row],[Weight / unit]]</f>
        <v>0</v>
      </c>
    </row>
    <row r="100" spans="1:14" s="9" customFormat="1" ht="20" customHeight="1" x14ac:dyDescent="0.35">
      <c r="A100" s="14" t="s">
        <v>73</v>
      </c>
      <c r="B100" s="11">
        <v>1</v>
      </c>
      <c r="C100" s="20">
        <f>Table13[[#This Row],[Price AUD
(incl. GST)]]/Table13[[#This Row],['# holds 
per set]]</f>
        <v>28</v>
      </c>
      <c r="D100" s="13">
        <v>28</v>
      </c>
      <c r="E100" s="156"/>
      <c r="F100" s="157"/>
      <c r="G100" s="15">
        <f>E100*D100</f>
        <v>0</v>
      </c>
      <c r="H100" s="16">
        <f>Table13[[#This Row],['# holds 
per set]]*Table13[[#This Row],[Qty]]</f>
        <v>0</v>
      </c>
      <c r="I100" s="17">
        <v>0</v>
      </c>
      <c r="J100" s="17">
        <f>Table13[[#This Row],[Qty]]*Table13[[#This Row],['#bolts per set]]</f>
        <v>0</v>
      </c>
      <c r="K100" s="17">
        <v>235</v>
      </c>
      <c r="L100" s="36">
        <v>2</v>
      </c>
      <c r="M100" s="17">
        <f>Table13[[#This Row],[Qty]]*Table13[[#This Row],['#screws per set]]</f>
        <v>0</v>
      </c>
      <c r="N100" s="17">
        <f>Table13[[#This Row],[Qty]]*Table13[[#This Row],[Weight / unit]]</f>
        <v>0</v>
      </c>
    </row>
    <row r="101" spans="1:14" s="9" customFormat="1" ht="49.5" customHeight="1" x14ac:dyDescent="0.35">
      <c r="A101" s="38" t="s">
        <v>74</v>
      </c>
      <c r="B101" s="38" t="s">
        <v>75</v>
      </c>
      <c r="C101" s="39" t="s">
        <v>76</v>
      </c>
      <c r="D101" s="40" t="s">
        <v>56</v>
      </c>
      <c r="E101" s="38"/>
      <c r="F101" s="41"/>
      <c r="G101" s="42"/>
      <c r="H101" s="42"/>
      <c r="I101" s="42"/>
      <c r="J101" s="42"/>
      <c r="K101" s="42"/>
      <c r="L101" s="43"/>
      <c r="M101" s="42"/>
      <c r="N101" s="42"/>
    </row>
    <row r="102" spans="1:14" s="9" customFormat="1" ht="20" customHeight="1" x14ac:dyDescent="0.35">
      <c r="A102" s="44" t="s">
        <v>174</v>
      </c>
      <c r="B102" s="45"/>
      <c r="C102" s="46"/>
      <c r="D102" s="47"/>
      <c r="E102" s="45"/>
      <c r="F102" s="48"/>
      <c r="G102" s="49" t="str">
        <f>IF(SUM(G103:G112)=0,"",SUM(G103:G112))</f>
        <v/>
      </c>
      <c r="H102" s="49"/>
      <c r="I102" s="49"/>
      <c r="J102" s="49"/>
      <c r="K102" s="49"/>
      <c r="L102" s="50"/>
      <c r="M102" s="49"/>
      <c r="N102" s="49"/>
    </row>
    <row r="103" spans="1:14" s="9" customFormat="1" ht="20" customHeight="1" x14ac:dyDescent="0.35">
      <c r="A103" s="51" t="s">
        <v>77</v>
      </c>
      <c r="B103" s="52" t="s">
        <v>180</v>
      </c>
      <c r="C103" s="53">
        <v>0.34</v>
      </c>
      <c r="D103" s="54">
        <v>0.34</v>
      </c>
      <c r="E103" s="158"/>
      <c r="F103" s="55" t="s">
        <v>91</v>
      </c>
      <c r="G103" s="56">
        <f t="shared" ref="G103:G104" si="21">E103*D103</f>
        <v>0</v>
      </c>
      <c r="H103" s="57"/>
      <c r="I103" s="17"/>
      <c r="J103" s="17"/>
      <c r="K103" s="17">
        <f>7.56+3</f>
        <v>10.559999999999999</v>
      </c>
      <c r="L103" s="36"/>
      <c r="M103" s="17"/>
      <c r="N103" s="17">
        <f>Table13[[#This Row],[Qty]]*Table13[[#This Row],[Weight / unit]]</f>
        <v>0</v>
      </c>
    </row>
    <row r="104" spans="1:14" s="9" customFormat="1" ht="20" customHeight="1" x14ac:dyDescent="0.35">
      <c r="A104" s="58" t="s">
        <v>182</v>
      </c>
      <c r="B104" s="59" t="s">
        <v>180</v>
      </c>
      <c r="C104" s="60">
        <v>0.3</v>
      </c>
      <c r="D104" s="61">
        <v>600</v>
      </c>
      <c r="E104" s="159"/>
      <c r="F104" s="62" t="s">
        <v>148</v>
      </c>
      <c r="G104" s="56">
        <f t="shared" si="21"/>
        <v>0</v>
      </c>
      <c r="H104" s="57"/>
      <c r="I104" s="17"/>
      <c r="J104" s="17"/>
      <c r="K104" s="17">
        <f>K103*2000</f>
        <v>21119.999999999996</v>
      </c>
      <c r="L104" s="36"/>
      <c r="M104" s="17"/>
      <c r="N104" s="17">
        <f>Table13[[#This Row],[Qty]]*Table13[[#This Row],[Weight / unit]]</f>
        <v>0</v>
      </c>
    </row>
    <row r="105" spans="1:14" s="9" customFormat="1" ht="20" customHeight="1" x14ac:dyDescent="0.35">
      <c r="A105" s="63" t="s">
        <v>78</v>
      </c>
      <c r="B105" s="64" t="s">
        <v>180</v>
      </c>
      <c r="C105" s="65">
        <v>0.34</v>
      </c>
      <c r="D105" s="66">
        <v>0.34</v>
      </c>
      <c r="E105" s="160"/>
      <c r="F105" s="55" t="s">
        <v>91</v>
      </c>
      <c r="G105" s="56">
        <f t="shared" ref="G105" si="22">E105*D105</f>
        <v>0</v>
      </c>
      <c r="H105" s="57"/>
      <c r="I105" s="17"/>
      <c r="J105" s="17"/>
      <c r="K105" s="17">
        <f>7.7+3</f>
        <v>10.7</v>
      </c>
      <c r="L105" s="36"/>
      <c r="M105" s="17"/>
      <c r="N105" s="17">
        <f>Table13[[#This Row],[Qty]]*Table13[[#This Row],[Weight / unit]]</f>
        <v>0</v>
      </c>
    </row>
    <row r="106" spans="1:14" s="9" customFormat="1" ht="20" customHeight="1" x14ac:dyDescent="0.35">
      <c r="A106" s="63" t="s">
        <v>183</v>
      </c>
      <c r="B106" s="64" t="s">
        <v>180</v>
      </c>
      <c r="C106" s="60">
        <v>0.3</v>
      </c>
      <c r="D106" s="61">
        <v>600</v>
      </c>
      <c r="E106" s="160"/>
      <c r="F106" s="55" t="s">
        <v>148</v>
      </c>
      <c r="G106" s="56">
        <f>E106*D106</f>
        <v>0</v>
      </c>
      <c r="H106" s="57"/>
      <c r="I106" s="17"/>
      <c r="J106" s="17"/>
      <c r="K106" s="17">
        <f>K105*2000</f>
        <v>21400</v>
      </c>
      <c r="L106" s="36"/>
      <c r="M106" s="17"/>
      <c r="N106" s="17">
        <f>Table13[[#This Row],[Qty]]*Table13[[#This Row],[Weight / unit]]</f>
        <v>0</v>
      </c>
    </row>
    <row r="107" spans="1:14" s="9" customFormat="1" ht="20" customHeight="1" x14ac:dyDescent="0.35">
      <c r="A107" s="51" t="s">
        <v>176</v>
      </c>
      <c r="B107" s="52" t="s">
        <v>181</v>
      </c>
      <c r="C107" s="53">
        <v>1.35</v>
      </c>
      <c r="D107" s="54">
        <v>1.5</v>
      </c>
      <c r="E107" s="158"/>
      <c r="F107" s="55" t="s">
        <v>91</v>
      </c>
      <c r="G107" s="56">
        <f t="shared" ref="G107" si="23">E107*D107</f>
        <v>0</v>
      </c>
      <c r="H107" s="57"/>
      <c r="I107" s="17"/>
      <c r="J107" s="17"/>
      <c r="K107" s="17">
        <f>7.7+3</f>
        <v>10.7</v>
      </c>
      <c r="L107" s="36"/>
      <c r="M107" s="17"/>
      <c r="N107" s="17">
        <f>Table13[[#This Row],[Qty]]*Table13[[#This Row],[Weight / unit]]</f>
        <v>0</v>
      </c>
    </row>
    <row r="108" spans="1:14" s="9" customFormat="1" ht="20" customHeight="1" x14ac:dyDescent="0.35">
      <c r="A108" s="51" t="s">
        <v>177</v>
      </c>
      <c r="B108" s="52" t="s">
        <v>181</v>
      </c>
      <c r="C108" s="53">
        <v>1.35</v>
      </c>
      <c r="D108" s="54">
        <v>1.5</v>
      </c>
      <c r="E108" s="158"/>
      <c r="F108" s="55" t="s">
        <v>91</v>
      </c>
      <c r="G108" s="56">
        <f t="shared" ref="G108" si="24">E108*D108</f>
        <v>0</v>
      </c>
      <c r="H108" s="57"/>
      <c r="I108" s="17"/>
      <c r="J108" s="17"/>
      <c r="K108" s="17">
        <f>7.82+3</f>
        <v>10.82</v>
      </c>
      <c r="L108" s="36"/>
      <c r="M108" s="17"/>
      <c r="N108" s="17">
        <f>Table13[[#This Row],[Qty]]*Table13[[#This Row],[Weight / unit]]</f>
        <v>0</v>
      </c>
    </row>
    <row r="109" spans="1:14" s="9" customFormat="1" ht="20" customHeight="1" x14ac:dyDescent="0.35">
      <c r="A109" s="63" t="s">
        <v>178</v>
      </c>
      <c r="B109" s="67" t="s">
        <v>180</v>
      </c>
      <c r="C109" s="60">
        <v>0.75</v>
      </c>
      <c r="D109" s="66">
        <v>0.75</v>
      </c>
      <c r="E109" s="160"/>
      <c r="F109" s="68" t="s">
        <v>275</v>
      </c>
      <c r="G109" s="56">
        <f>E109*D109</f>
        <v>0</v>
      </c>
      <c r="H109" s="57"/>
      <c r="I109" s="17"/>
      <c r="J109" s="17"/>
      <c r="K109" s="17">
        <f>19.3+2</f>
        <v>21.3</v>
      </c>
      <c r="L109" s="36"/>
      <c r="M109" s="17"/>
      <c r="N109" s="17">
        <f>Table13[[#This Row],[Qty]]*Table13[[#This Row],[Weight / unit]]</f>
        <v>0</v>
      </c>
    </row>
    <row r="110" spans="1:14" s="9" customFormat="1" ht="20" customHeight="1" x14ac:dyDescent="0.35">
      <c r="A110" s="63" t="s">
        <v>184</v>
      </c>
      <c r="B110" s="67" t="s">
        <v>180</v>
      </c>
      <c r="C110" s="60">
        <v>0.7</v>
      </c>
      <c r="D110" s="61">
        <v>700</v>
      </c>
      <c r="E110" s="160"/>
      <c r="F110" s="68" t="s">
        <v>276</v>
      </c>
      <c r="G110" s="56">
        <f>E110*D110</f>
        <v>0</v>
      </c>
      <c r="H110" s="57"/>
      <c r="I110" s="17"/>
      <c r="J110" s="17"/>
      <c r="K110" s="17">
        <f>K109*1000</f>
        <v>21300</v>
      </c>
      <c r="L110" s="36"/>
      <c r="M110" s="17"/>
      <c r="N110" s="17">
        <f>Table13[[#This Row],[Qty]]*Table13[[#This Row],[Weight / unit]]</f>
        <v>0</v>
      </c>
    </row>
    <row r="111" spans="1:14" s="9" customFormat="1" ht="20" customHeight="1" x14ac:dyDescent="0.35">
      <c r="A111" s="63" t="s">
        <v>179</v>
      </c>
      <c r="B111" s="67" t="s">
        <v>180</v>
      </c>
      <c r="C111" s="60">
        <v>0.75</v>
      </c>
      <c r="D111" s="66">
        <v>0.75</v>
      </c>
      <c r="E111" s="160"/>
      <c r="F111" s="68" t="s">
        <v>275</v>
      </c>
      <c r="G111" s="56">
        <f>E111*D111</f>
        <v>0</v>
      </c>
      <c r="H111" s="57"/>
      <c r="I111" s="17"/>
      <c r="J111" s="17"/>
      <c r="K111" s="17">
        <f>16.3+2</f>
        <v>18.3</v>
      </c>
      <c r="L111" s="36"/>
      <c r="M111" s="17"/>
      <c r="N111" s="17">
        <f>Table13[[#This Row],[Qty]]*Table13[[#This Row],[Weight / unit]]</f>
        <v>0</v>
      </c>
    </row>
    <row r="112" spans="1:14" s="9" customFormat="1" ht="20" customHeight="1" x14ac:dyDescent="0.35">
      <c r="A112" s="63" t="s">
        <v>185</v>
      </c>
      <c r="B112" s="67" t="s">
        <v>180</v>
      </c>
      <c r="C112" s="60">
        <v>0.7</v>
      </c>
      <c r="D112" s="61">
        <v>700</v>
      </c>
      <c r="E112" s="160"/>
      <c r="F112" s="68" t="s">
        <v>277</v>
      </c>
      <c r="G112" s="56">
        <f>E112*D112</f>
        <v>0</v>
      </c>
      <c r="H112" s="57"/>
      <c r="I112" s="17"/>
      <c r="J112" s="17"/>
      <c r="K112" s="17">
        <f>K111*1000</f>
        <v>18300</v>
      </c>
      <c r="L112" s="36"/>
      <c r="M112" s="17"/>
      <c r="N112" s="17">
        <f>Table13[[#This Row],[Qty]]*Table13[[#This Row],[Weight / unit]]</f>
        <v>0</v>
      </c>
    </row>
    <row r="113" spans="1:14" s="9" customFormat="1" ht="20" customHeight="1" x14ac:dyDescent="0.35">
      <c r="A113" s="69" t="s">
        <v>186</v>
      </c>
      <c r="B113" s="69"/>
      <c r="C113" s="69"/>
      <c r="D113" s="47"/>
      <c r="E113" s="45"/>
      <c r="F113" s="48"/>
      <c r="G113" s="49" t="str">
        <f>IF(SUM(G114:G117)=0,"",SUM(G114:G117))</f>
        <v/>
      </c>
      <c r="H113" s="49"/>
      <c r="I113" s="49"/>
      <c r="J113" s="49"/>
      <c r="K113" s="49"/>
      <c r="L113" s="50"/>
      <c r="M113" s="49"/>
      <c r="N113" s="49"/>
    </row>
    <row r="114" spans="1:14" s="9" customFormat="1" ht="20" customHeight="1" x14ac:dyDescent="0.35">
      <c r="A114" s="51" t="s">
        <v>187</v>
      </c>
      <c r="B114" s="70"/>
      <c r="C114" s="71">
        <v>17</v>
      </c>
      <c r="D114" s="72">
        <v>25</v>
      </c>
      <c r="E114" s="161"/>
      <c r="F114" s="73" t="s">
        <v>91</v>
      </c>
      <c r="G114" s="74">
        <f>E114*D114</f>
        <v>0</v>
      </c>
      <c r="H114" s="17"/>
      <c r="I114" s="17"/>
      <c r="J114" s="17"/>
      <c r="K114" s="17">
        <v>125</v>
      </c>
      <c r="L114" s="36"/>
      <c r="M114" s="17"/>
      <c r="N114" s="17">
        <f>Table13[[#This Row],[Qty]]*Table13[[#This Row],[Weight / unit]]</f>
        <v>0</v>
      </c>
    </row>
    <row r="115" spans="1:14" s="9" customFormat="1" ht="20" customHeight="1" x14ac:dyDescent="0.35">
      <c r="A115" s="51" t="s">
        <v>188</v>
      </c>
      <c r="B115" s="70"/>
      <c r="C115" s="71">
        <v>19</v>
      </c>
      <c r="D115" s="72">
        <v>25</v>
      </c>
      <c r="E115" s="161"/>
      <c r="F115" s="73" t="s">
        <v>91</v>
      </c>
      <c r="G115" s="74">
        <f>E115*D115</f>
        <v>0</v>
      </c>
      <c r="H115" s="17"/>
      <c r="I115" s="17"/>
      <c r="J115" s="17"/>
      <c r="K115" s="17">
        <v>125</v>
      </c>
      <c r="L115" s="36"/>
      <c r="M115" s="17"/>
      <c r="N115" s="17">
        <f>Table13[[#This Row],[Qty]]*Table13[[#This Row],[Weight / unit]]</f>
        <v>0</v>
      </c>
    </row>
    <row r="116" spans="1:14" s="9" customFormat="1" ht="20" customHeight="1" x14ac:dyDescent="0.35">
      <c r="A116" s="51" t="s">
        <v>189</v>
      </c>
      <c r="B116" s="70"/>
      <c r="C116" s="71">
        <v>27</v>
      </c>
      <c r="D116" s="72">
        <v>30</v>
      </c>
      <c r="E116" s="161"/>
      <c r="F116" s="73" t="s">
        <v>91</v>
      </c>
      <c r="G116" s="74">
        <f>E116*D116</f>
        <v>0</v>
      </c>
      <c r="H116" s="17"/>
      <c r="I116" s="17"/>
      <c r="J116" s="17"/>
      <c r="K116" s="17">
        <v>100</v>
      </c>
      <c r="L116" s="36"/>
      <c r="M116" s="17"/>
      <c r="N116" s="17">
        <f>Table13[[#This Row],[Qty]]*Table13[[#This Row],[Weight / unit]]</f>
        <v>0</v>
      </c>
    </row>
    <row r="117" spans="1:14" s="9" customFormat="1" ht="20" customHeight="1" x14ac:dyDescent="0.35">
      <c r="A117" s="51" t="s">
        <v>190</v>
      </c>
      <c r="B117" s="70"/>
      <c r="C117" s="71">
        <v>29</v>
      </c>
      <c r="D117" s="72">
        <v>35</v>
      </c>
      <c r="E117" s="161"/>
      <c r="F117" s="73" t="s">
        <v>91</v>
      </c>
      <c r="G117" s="74">
        <f>E117*D117</f>
        <v>0</v>
      </c>
      <c r="H117" s="17"/>
      <c r="I117" s="17"/>
      <c r="J117" s="17"/>
      <c r="K117" s="17">
        <v>100</v>
      </c>
      <c r="L117" s="36"/>
      <c r="M117" s="17"/>
      <c r="N117" s="17">
        <f>Table13[[#This Row],[Qty]]*Table13[[#This Row],[Weight / unit]]</f>
        <v>0</v>
      </c>
    </row>
    <row r="118" spans="1:14" s="9" customFormat="1" ht="20" customHeight="1" x14ac:dyDescent="0.35">
      <c r="A118" s="69" t="s">
        <v>321</v>
      </c>
      <c r="B118" s="69"/>
      <c r="C118" s="69"/>
      <c r="D118" s="47"/>
      <c r="E118" s="45"/>
      <c r="F118" s="48"/>
      <c r="G118" s="49" t="str">
        <f>IF(SUM(G119:G120)=0,"",SUM(G119:G120))</f>
        <v/>
      </c>
      <c r="H118" s="49"/>
      <c r="I118" s="49"/>
      <c r="J118" s="49"/>
      <c r="K118" s="49"/>
      <c r="L118" s="50"/>
      <c r="M118" s="49"/>
      <c r="N118" s="49"/>
    </row>
    <row r="119" spans="1:14" s="9" customFormat="1" ht="20" customHeight="1" x14ac:dyDescent="0.35">
      <c r="A119" s="51" t="s">
        <v>322</v>
      </c>
      <c r="B119" s="70" t="s">
        <v>180</v>
      </c>
      <c r="C119" s="75"/>
      <c r="D119" s="76">
        <v>2</v>
      </c>
      <c r="E119" s="161"/>
      <c r="F119" s="73" t="s">
        <v>91</v>
      </c>
      <c r="G119" s="74">
        <f>E119*D119</f>
        <v>0</v>
      </c>
      <c r="H119" s="17"/>
      <c r="I119" s="17"/>
      <c r="J119" s="17">
        <f>Table13[[#This Row],[Qty]]*Table13[[#This Row],['#bolts per set]]</f>
        <v>0</v>
      </c>
      <c r="K119" s="17">
        <v>20</v>
      </c>
      <c r="L119" s="36"/>
      <c r="M119" s="17">
        <f>Table13[[#This Row],[Qty]]*Table13[[#This Row],['#screws per set]]</f>
        <v>0</v>
      </c>
      <c r="N119" s="17">
        <f>Table13[[#This Row],[Qty]]*Table13[[#This Row],[Weight / unit]]</f>
        <v>0</v>
      </c>
    </row>
    <row r="120" spans="1:14" s="9" customFormat="1" ht="20" customHeight="1" x14ac:dyDescent="0.35">
      <c r="A120" s="51" t="s">
        <v>323</v>
      </c>
      <c r="B120" s="70" t="s">
        <v>181</v>
      </c>
      <c r="C120" s="75"/>
      <c r="D120" s="76">
        <v>15</v>
      </c>
      <c r="E120" s="161"/>
      <c r="F120" s="73" t="s">
        <v>91</v>
      </c>
      <c r="G120" s="74">
        <f>E120*D120</f>
        <v>0</v>
      </c>
      <c r="H120" s="17"/>
      <c r="I120" s="17"/>
      <c r="J120" s="17">
        <f>Table13[[#This Row],[Qty]]*Table13[[#This Row],['#bolts per set]]</f>
        <v>0</v>
      </c>
      <c r="K120" s="17">
        <v>20</v>
      </c>
      <c r="L120" s="36"/>
      <c r="M120" s="17">
        <f>Table13[[#This Row],[Qty]]*Table13[[#This Row],['#screws per set]]</f>
        <v>0</v>
      </c>
      <c r="N120" s="17">
        <f>Table13[[#This Row],[Qty]]*Table13[[#This Row],[Weight / unit]]</f>
        <v>0</v>
      </c>
    </row>
    <row r="121" spans="1:14" s="9" customFormat="1" ht="20" customHeight="1" x14ac:dyDescent="0.35">
      <c r="A121" s="77" t="s">
        <v>233</v>
      </c>
      <c r="B121" s="78"/>
      <c r="C121" s="79"/>
      <c r="D121" s="80"/>
      <c r="E121" s="78"/>
      <c r="F121" s="81"/>
      <c r="G121" s="82" t="str">
        <f>IF(SUM(G122:G137)=0,"",SUM(G122:G137))</f>
        <v/>
      </c>
      <c r="H121" s="82"/>
      <c r="I121" s="82"/>
      <c r="J121" s="82"/>
      <c r="K121" s="82"/>
      <c r="L121" s="83"/>
      <c r="M121" s="82"/>
      <c r="N121" s="82"/>
    </row>
    <row r="122" spans="1:14" s="9" customFormat="1" ht="20" customHeight="1" x14ac:dyDescent="0.35">
      <c r="A122" s="63" t="s">
        <v>95</v>
      </c>
      <c r="B122" s="64"/>
      <c r="C122" s="60"/>
      <c r="D122" s="84">
        <f>Table13[[#This Row],[Total]]</f>
        <v>0</v>
      </c>
      <c r="E122" s="162"/>
      <c r="F122" s="163" t="s">
        <v>93</v>
      </c>
      <c r="G122" s="86">
        <f>IF(Table13[[#This Row],[Qty]]="Yes",Table13[[#This Row],['#bolts ordered]]*0.65,0)</f>
        <v>0</v>
      </c>
      <c r="H122" s="57">
        <f>SUM(H18:H100)</f>
        <v>0</v>
      </c>
      <c r="I122" s="17"/>
      <c r="J122" s="17">
        <f>IF(Table13[[#This Row],[Qty]]="Yes", SUM(J18:J100),0)</f>
        <v>0</v>
      </c>
      <c r="K122" s="17">
        <v>35</v>
      </c>
      <c r="L122" s="36"/>
      <c r="M122" s="17"/>
      <c r="N122" s="17">
        <f>IF(Table13[[#This Row],[Qty]]="Yes",Table13[[#This Row],['#bolts ordered]]*Table13[[#This Row],[Weight / unit]],0)</f>
        <v>0</v>
      </c>
    </row>
    <row r="123" spans="1:14" s="9" customFormat="1" ht="20" customHeight="1" x14ac:dyDescent="0.35">
      <c r="A123" s="63" t="s">
        <v>79</v>
      </c>
      <c r="B123" s="64"/>
      <c r="C123" s="60"/>
      <c r="D123" s="84">
        <v>0.38</v>
      </c>
      <c r="E123" s="162"/>
      <c r="F123" s="85" t="s">
        <v>91</v>
      </c>
      <c r="G123" s="86">
        <f>E123*D123</f>
        <v>0</v>
      </c>
      <c r="H123" s="57"/>
      <c r="I123" s="17"/>
      <c r="J123" s="17" t="str">
        <f>IF(Table13[[#This Row],[Qty]]="","", IF(Table13[[#This Row],[Qty]]&gt;0,Table13[[#This Row],[Qty]]))</f>
        <v/>
      </c>
      <c r="K123" s="17">
        <v>22.1</v>
      </c>
      <c r="L123" s="36"/>
      <c r="M123" s="17"/>
      <c r="N123" s="17">
        <f>Table13[[#This Row],[Qty]]*Table13[[#This Row],[Weight / unit]]</f>
        <v>0</v>
      </c>
    </row>
    <row r="124" spans="1:14" s="9" customFormat="1" ht="20" customHeight="1" x14ac:dyDescent="0.35">
      <c r="A124" s="63" t="s">
        <v>80</v>
      </c>
      <c r="B124" s="64"/>
      <c r="C124" s="60"/>
      <c r="D124" s="84">
        <v>0.43</v>
      </c>
      <c r="E124" s="162"/>
      <c r="F124" s="85" t="s">
        <v>91</v>
      </c>
      <c r="G124" s="86">
        <f t="shared" ref="G124:G131" si="25">E124*D124</f>
        <v>0</v>
      </c>
      <c r="H124" s="57"/>
      <c r="I124" s="17"/>
      <c r="J124" s="17" t="str">
        <f>IF(Table13[[#This Row],[Qty]]="","", IF(Table13[[#This Row],[Qty]]&gt;0,Table13[[#This Row],[Qty]]))</f>
        <v/>
      </c>
      <c r="K124" s="17">
        <v>24.7</v>
      </c>
      <c r="L124" s="36"/>
      <c r="M124" s="17"/>
      <c r="N124" s="17">
        <f>Table13[[#This Row],[Qty]]*Table13[[#This Row],[Weight / unit]]</f>
        <v>0</v>
      </c>
    </row>
    <row r="125" spans="1:14" s="9" customFormat="1" ht="20" customHeight="1" x14ac:dyDescent="0.35">
      <c r="A125" s="87" t="s">
        <v>81</v>
      </c>
      <c r="B125" s="64"/>
      <c r="C125" s="60"/>
      <c r="D125" s="84">
        <v>0.51</v>
      </c>
      <c r="E125" s="162"/>
      <c r="F125" s="85" t="s">
        <v>91</v>
      </c>
      <c r="G125" s="86">
        <f t="shared" si="25"/>
        <v>0</v>
      </c>
      <c r="H125" s="57"/>
      <c r="I125" s="17"/>
      <c r="J125" s="17" t="str">
        <f>IF(Table13[[#This Row],[Qty]]="","", IF(Table13[[#This Row],[Qty]]&gt;0,Table13[[#This Row],[Qty]]))</f>
        <v/>
      </c>
      <c r="K125" s="17">
        <v>28.7</v>
      </c>
      <c r="L125" s="36"/>
      <c r="M125" s="17"/>
      <c r="N125" s="17">
        <f>Table13[[#This Row],[Qty]]*Table13[[#This Row],[Weight / unit]]</f>
        <v>0</v>
      </c>
    </row>
    <row r="126" spans="1:14" s="9" customFormat="1" ht="20" customHeight="1" x14ac:dyDescent="0.35">
      <c r="A126" s="63" t="s">
        <v>83</v>
      </c>
      <c r="B126" s="64"/>
      <c r="C126" s="60"/>
      <c r="D126" s="84">
        <v>0.5</v>
      </c>
      <c r="E126" s="162"/>
      <c r="F126" s="85" t="s">
        <v>91</v>
      </c>
      <c r="G126" s="86">
        <f t="shared" si="25"/>
        <v>0</v>
      </c>
      <c r="H126" s="57"/>
      <c r="I126" s="17"/>
      <c r="J126" s="17" t="str">
        <f>IF(Table13[[#This Row],[Qty]]="","", IF(Table13[[#This Row],[Qty]]&gt;0,Table13[[#This Row],[Qty]]))</f>
        <v/>
      </c>
      <c r="K126" s="17">
        <v>31.4</v>
      </c>
      <c r="L126" s="36"/>
      <c r="M126" s="17"/>
      <c r="N126" s="17">
        <f>Table13[[#This Row],[Qty]]*Table13[[#This Row],[Weight / unit]]</f>
        <v>0</v>
      </c>
    </row>
    <row r="127" spans="1:14" s="9" customFormat="1" ht="20" customHeight="1" x14ac:dyDescent="0.35">
      <c r="A127" s="63" t="s">
        <v>141</v>
      </c>
      <c r="B127" s="64"/>
      <c r="C127" s="60"/>
      <c r="D127" s="84">
        <v>0.54</v>
      </c>
      <c r="E127" s="162"/>
      <c r="F127" s="85" t="s">
        <v>91</v>
      </c>
      <c r="G127" s="86">
        <f t="shared" ref="G127" si="26">E127*D127</f>
        <v>0</v>
      </c>
      <c r="H127" s="57"/>
      <c r="I127" s="17"/>
      <c r="J127" s="17" t="str">
        <f>IF(Table13[[#This Row],[Qty]]="","", IF(Table13[[#This Row],[Qty]]&gt;0,Table13[[#This Row],[Qty]]))</f>
        <v/>
      </c>
      <c r="K127" s="17">
        <v>36</v>
      </c>
      <c r="L127" s="36"/>
      <c r="M127" s="17"/>
      <c r="N127" s="17">
        <f>Table13[[#This Row],[Qty]]*Table13[[#This Row],[Weight / unit]]</f>
        <v>0</v>
      </c>
    </row>
    <row r="128" spans="1:14" s="9" customFormat="1" ht="20" customHeight="1" x14ac:dyDescent="0.35">
      <c r="A128" s="63" t="s">
        <v>82</v>
      </c>
      <c r="B128" s="64"/>
      <c r="C128" s="60"/>
      <c r="D128" s="84">
        <v>0.67</v>
      </c>
      <c r="E128" s="162"/>
      <c r="F128" s="85" t="s">
        <v>91</v>
      </c>
      <c r="G128" s="86">
        <f t="shared" si="25"/>
        <v>0</v>
      </c>
      <c r="H128" s="57"/>
      <c r="I128" s="17"/>
      <c r="J128" s="17" t="str">
        <f>IF(Table13[[#This Row],[Qty]]="","", IF(Table13[[#This Row],[Qty]]&gt;0,Table13[[#This Row],[Qty]]))</f>
        <v/>
      </c>
      <c r="K128" s="17">
        <v>38.200000000000003</v>
      </c>
      <c r="L128" s="36"/>
      <c r="M128" s="17"/>
      <c r="N128" s="17">
        <f>Table13[[#This Row],[Qty]]*Table13[[#This Row],[Weight / unit]]</f>
        <v>0</v>
      </c>
    </row>
    <row r="129" spans="1:14" s="9" customFormat="1" ht="20" customHeight="1" x14ac:dyDescent="0.35">
      <c r="A129" s="63" t="s">
        <v>96</v>
      </c>
      <c r="B129" s="64"/>
      <c r="C129" s="60"/>
      <c r="D129" s="84">
        <v>0.74</v>
      </c>
      <c r="E129" s="162"/>
      <c r="F129" s="85" t="s">
        <v>91</v>
      </c>
      <c r="G129" s="86">
        <f t="shared" si="25"/>
        <v>0</v>
      </c>
      <c r="H129" s="57"/>
      <c r="I129" s="17"/>
      <c r="J129" s="17" t="str">
        <f>IF(Table13[[#This Row],[Qty]]="","", IF(Table13[[#This Row],[Qty]]&gt;0,Table13[[#This Row],[Qty]]))</f>
        <v/>
      </c>
      <c r="K129" s="17">
        <v>43</v>
      </c>
      <c r="L129" s="36"/>
      <c r="M129" s="17"/>
      <c r="N129" s="17">
        <f>Table13[[#This Row],[Qty]]*Table13[[#This Row],[Weight / unit]]</f>
        <v>0</v>
      </c>
    </row>
    <row r="130" spans="1:14" s="9" customFormat="1" ht="20" customHeight="1" x14ac:dyDescent="0.35">
      <c r="A130" s="63" t="s">
        <v>84</v>
      </c>
      <c r="B130" s="64"/>
      <c r="C130" s="60"/>
      <c r="D130" s="84">
        <v>0.82</v>
      </c>
      <c r="E130" s="162"/>
      <c r="F130" s="85" t="s">
        <v>91</v>
      </c>
      <c r="G130" s="86">
        <f t="shared" si="25"/>
        <v>0</v>
      </c>
      <c r="H130" s="57"/>
      <c r="I130" s="17"/>
      <c r="J130" s="17" t="str">
        <f>IF(Table13[[#This Row],[Qty]]="","", IF(Table13[[#This Row],[Qty]]&gt;0,Table13[[#This Row],[Qty]]))</f>
        <v/>
      </c>
      <c r="K130" s="17">
        <v>45.2</v>
      </c>
      <c r="L130" s="36"/>
      <c r="M130" s="17"/>
      <c r="N130" s="17">
        <f>Table13[[#This Row],[Qty]]*Table13[[#This Row],[Weight / unit]]</f>
        <v>0</v>
      </c>
    </row>
    <row r="131" spans="1:14" s="9" customFormat="1" ht="20" customHeight="1" x14ac:dyDescent="0.35">
      <c r="A131" s="63" t="s">
        <v>90</v>
      </c>
      <c r="B131" s="64"/>
      <c r="C131" s="60"/>
      <c r="D131" s="84">
        <v>0.9</v>
      </c>
      <c r="E131" s="162"/>
      <c r="F131" s="85" t="s">
        <v>91</v>
      </c>
      <c r="G131" s="86">
        <f t="shared" si="25"/>
        <v>0</v>
      </c>
      <c r="H131" s="57"/>
      <c r="I131" s="17"/>
      <c r="J131" s="17" t="str">
        <f>IF(Table13[[#This Row],[Qty]]="","", IF(Table13[[#This Row],[Qty]]&gt;0,Table13[[#This Row],[Qty]]))</f>
        <v/>
      </c>
      <c r="K131" s="17">
        <v>49.3</v>
      </c>
      <c r="L131" s="36"/>
      <c r="M131" s="17"/>
      <c r="N131" s="17">
        <f>Table13[[#This Row],[Qty]]*Table13[[#This Row],[Weight / unit]]</f>
        <v>0</v>
      </c>
    </row>
    <row r="132" spans="1:14" s="9" customFormat="1" ht="20" customHeight="1" x14ac:dyDescent="0.35">
      <c r="A132" s="63" t="s">
        <v>85</v>
      </c>
      <c r="B132" s="64"/>
      <c r="C132" s="60"/>
      <c r="D132" s="84">
        <v>1.02</v>
      </c>
      <c r="E132" s="162"/>
      <c r="F132" s="85" t="s">
        <v>91</v>
      </c>
      <c r="G132" s="86">
        <f t="shared" ref="G132:G137" si="27">E132*D132</f>
        <v>0</v>
      </c>
      <c r="H132" s="57"/>
      <c r="I132" s="17"/>
      <c r="J132" s="17" t="str">
        <f>IF(Table13[[#This Row],[Qty]]="","", IF(Table13[[#This Row],[Qty]]&gt;0,Table13[[#This Row],[Qty]]))</f>
        <v/>
      </c>
      <c r="K132" s="17">
        <v>52.1</v>
      </c>
      <c r="L132" s="36"/>
      <c r="M132" s="17"/>
      <c r="N132" s="17">
        <f>Table13[[#This Row],[Qty]]*Table13[[#This Row],[Weight / unit]]</f>
        <v>0</v>
      </c>
    </row>
    <row r="133" spans="1:14" s="9" customFormat="1" ht="20" customHeight="1" x14ac:dyDescent="0.35">
      <c r="A133" s="63" t="s">
        <v>92</v>
      </c>
      <c r="B133" s="64"/>
      <c r="C133" s="60"/>
      <c r="D133" s="84">
        <v>1.1100000000000001</v>
      </c>
      <c r="E133" s="162"/>
      <c r="F133" s="85" t="s">
        <v>91</v>
      </c>
      <c r="G133" s="86">
        <f t="shared" ref="G133" si="28">E133*D133</f>
        <v>0</v>
      </c>
      <c r="H133" s="57"/>
      <c r="I133" s="17"/>
      <c r="J133" s="17" t="str">
        <f>IF(Table13[[#This Row],[Qty]]="","", IF(Table13[[#This Row],[Qty]]&gt;0,Table13[[#This Row],[Qty]]))</f>
        <v/>
      </c>
      <c r="K133" s="17">
        <v>56.4</v>
      </c>
      <c r="L133" s="36"/>
      <c r="M133" s="17"/>
      <c r="N133" s="17">
        <f>Table13[[#This Row],[Qty]]*Table13[[#This Row],[Weight / unit]]</f>
        <v>0</v>
      </c>
    </row>
    <row r="134" spans="1:14" s="9" customFormat="1" ht="20" customHeight="1" x14ac:dyDescent="0.35">
      <c r="A134" s="63" t="s">
        <v>86</v>
      </c>
      <c r="B134" s="64"/>
      <c r="C134" s="60"/>
      <c r="D134" s="84">
        <v>1.19</v>
      </c>
      <c r="E134" s="162"/>
      <c r="F134" s="85" t="s">
        <v>91</v>
      </c>
      <c r="G134" s="86">
        <f t="shared" si="27"/>
        <v>0</v>
      </c>
      <c r="H134" s="57"/>
      <c r="I134" s="17"/>
      <c r="J134" s="17" t="str">
        <f>IF(Table13[[#This Row],[Qty]]="","", IF(Table13[[#This Row],[Qty]]&gt;0,Table13[[#This Row],[Qty]]))</f>
        <v/>
      </c>
      <c r="K134" s="17">
        <v>59.4</v>
      </c>
      <c r="L134" s="36"/>
      <c r="M134" s="17"/>
      <c r="N134" s="17">
        <f>Table13[[#This Row],[Qty]]*Table13[[#This Row],[Weight / unit]]</f>
        <v>0</v>
      </c>
    </row>
    <row r="135" spans="1:14" s="9" customFormat="1" ht="20" customHeight="1" x14ac:dyDescent="0.35">
      <c r="A135" s="63" t="s">
        <v>87</v>
      </c>
      <c r="B135" s="64"/>
      <c r="C135" s="60"/>
      <c r="D135" s="84">
        <v>1.56</v>
      </c>
      <c r="E135" s="162"/>
      <c r="F135" s="85" t="s">
        <v>91</v>
      </c>
      <c r="G135" s="86">
        <f t="shared" si="27"/>
        <v>0</v>
      </c>
      <c r="H135" s="57"/>
      <c r="I135" s="17"/>
      <c r="J135" s="17" t="str">
        <f>IF(Table13[[#This Row],[Qty]]="","", IF(Table13[[#This Row],[Qty]]&gt;0,Table13[[#This Row],[Qty]]))</f>
        <v/>
      </c>
      <c r="K135" s="17">
        <v>66.3</v>
      </c>
      <c r="L135" s="36"/>
      <c r="M135" s="17"/>
      <c r="N135" s="17">
        <f>Table13[[#This Row],[Qty]]*Table13[[#This Row],[Weight / unit]]</f>
        <v>0</v>
      </c>
    </row>
    <row r="136" spans="1:14" s="9" customFormat="1" ht="20" customHeight="1" x14ac:dyDescent="0.35">
      <c r="A136" s="63" t="s">
        <v>88</v>
      </c>
      <c r="B136" s="64"/>
      <c r="C136" s="60"/>
      <c r="D136" s="84">
        <v>1.59</v>
      </c>
      <c r="E136" s="162"/>
      <c r="F136" s="85" t="s">
        <v>91</v>
      </c>
      <c r="G136" s="86">
        <f t="shared" si="27"/>
        <v>0</v>
      </c>
      <c r="H136" s="57"/>
      <c r="I136" s="17"/>
      <c r="J136" s="17" t="str">
        <f>IF(Table13[[#This Row],[Qty]]="","", IF(Table13[[#This Row],[Qty]]&gt;0,Table13[[#This Row],[Qty]]))</f>
        <v/>
      </c>
      <c r="K136" s="17">
        <v>73.2</v>
      </c>
      <c r="L136" s="36"/>
      <c r="M136" s="17"/>
      <c r="N136" s="17">
        <f>Table13[[#This Row],[Qty]]*Table13[[#This Row],[Weight / unit]]</f>
        <v>0</v>
      </c>
    </row>
    <row r="137" spans="1:14" s="9" customFormat="1" ht="20" customHeight="1" x14ac:dyDescent="0.35">
      <c r="A137" s="63" t="s">
        <v>89</v>
      </c>
      <c r="B137" s="64"/>
      <c r="C137" s="60"/>
      <c r="D137" s="84">
        <v>2.0699999999999998</v>
      </c>
      <c r="E137" s="162"/>
      <c r="F137" s="85" t="s">
        <v>91</v>
      </c>
      <c r="G137" s="86">
        <f t="shared" si="27"/>
        <v>0</v>
      </c>
      <c r="H137" s="57"/>
      <c r="I137" s="17"/>
      <c r="J137" s="17" t="str">
        <f>IF(Table13[[#This Row],[Qty]]="","", IF(Table13[[#This Row],[Qty]]&gt;0,Table13[[#This Row],[Qty]]))</f>
        <v/>
      </c>
      <c r="K137" s="17">
        <v>80.099999999999994</v>
      </c>
      <c r="L137" s="36"/>
      <c r="M137" s="17"/>
      <c r="N137" s="17">
        <f>Table13[[#This Row],[Qty]]*Table13[[#This Row],[Weight / unit]]</f>
        <v>0</v>
      </c>
    </row>
    <row r="138" spans="1:14" s="9" customFormat="1" ht="20" customHeight="1" x14ac:dyDescent="0.35">
      <c r="A138" s="77" t="s">
        <v>284</v>
      </c>
      <c r="B138" s="78"/>
      <c r="C138" s="79"/>
      <c r="D138" s="80"/>
      <c r="E138" s="78"/>
      <c r="F138" s="81"/>
      <c r="G138" s="82" t="str">
        <f>IF(SUM(G139:G143)=0,"",SUM(G139:G143))</f>
        <v/>
      </c>
      <c r="H138" s="82"/>
      <c r="I138" s="82"/>
      <c r="J138" s="82"/>
      <c r="K138" s="82"/>
      <c r="L138" s="83"/>
      <c r="M138" s="82"/>
      <c r="N138" s="82"/>
    </row>
    <row r="139" spans="1:14" s="9" customFormat="1" ht="20" customHeight="1" x14ac:dyDescent="0.35">
      <c r="A139" s="63" t="s">
        <v>145</v>
      </c>
      <c r="B139" s="64"/>
      <c r="C139" s="60"/>
      <c r="D139" s="84">
        <v>0.5</v>
      </c>
      <c r="E139" s="162"/>
      <c r="F139" s="85" t="s">
        <v>91</v>
      </c>
      <c r="G139" s="86">
        <f>E139*D139</f>
        <v>0</v>
      </c>
      <c r="H139" s="57"/>
      <c r="I139" s="17"/>
      <c r="J139" s="17" t="str">
        <f>IF(Table13[[#This Row],[Qty]]="","", IF(Table13[[#This Row],[Qty]]&gt;0,Table13[[#This Row],[Qty]]))</f>
        <v/>
      </c>
      <c r="K139" s="17">
        <v>18</v>
      </c>
      <c r="L139" s="36"/>
      <c r="M139" s="17"/>
      <c r="N139" s="17">
        <f>Table13[[#This Row],[Qty]]*Table13[[#This Row],[Weight / unit]]</f>
        <v>0</v>
      </c>
    </row>
    <row r="140" spans="1:14" s="9" customFormat="1" ht="20" customHeight="1" x14ac:dyDescent="0.35">
      <c r="A140" s="63" t="s">
        <v>144</v>
      </c>
      <c r="B140" s="64"/>
      <c r="C140" s="60"/>
      <c r="D140" s="84">
        <v>0.6</v>
      </c>
      <c r="E140" s="162"/>
      <c r="F140" s="85" t="s">
        <v>91</v>
      </c>
      <c r="G140" s="86">
        <f t="shared" ref="G140" si="29">E140*D140</f>
        <v>0</v>
      </c>
      <c r="H140" s="57"/>
      <c r="I140" s="17"/>
      <c r="J140" s="17" t="str">
        <f>IF(Table13[[#This Row],[Qty]]="","", IF(Table13[[#This Row],[Qty]]&gt;0,Table13[[#This Row],[Qty]]))</f>
        <v/>
      </c>
      <c r="K140" s="17">
        <v>23</v>
      </c>
      <c r="L140" s="36"/>
      <c r="M140" s="17"/>
      <c r="N140" s="17">
        <f>Table13[[#This Row],[Qty]]*Table13[[#This Row],[Weight / unit]]</f>
        <v>0</v>
      </c>
    </row>
    <row r="141" spans="1:14" s="9" customFormat="1" ht="20" customHeight="1" x14ac:dyDescent="0.35">
      <c r="A141" s="63" t="s">
        <v>251</v>
      </c>
      <c r="B141" s="67"/>
      <c r="C141" s="60"/>
      <c r="D141" s="84">
        <v>0.95</v>
      </c>
      <c r="E141" s="164"/>
      <c r="F141" s="88" t="s">
        <v>91</v>
      </c>
      <c r="G141" s="89">
        <f>E141*D141</f>
        <v>0</v>
      </c>
      <c r="H141" s="57"/>
      <c r="I141" s="17"/>
      <c r="J141" s="17" t="str">
        <f>IF(Table13[[#This Row],[Qty]]="","", IF(Table13[[#This Row],[Qty]]&gt;0,Table13[[#This Row],[Qty]]))</f>
        <v/>
      </c>
      <c r="K141" s="17">
        <v>30</v>
      </c>
      <c r="L141" s="36"/>
      <c r="M141" s="17"/>
      <c r="N141" s="17">
        <f>Table13[[#This Row],[Qty]]*Table13[[#This Row],[Weight / unit]]</f>
        <v>0</v>
      </c>
    </row>
    <row r="142" spans="1:14" s="9" customFormat="1" ht="20" customHeight="1" x14ac:dyDescent="0.35">
      <c r="A142" s="63" t="s">
        <v>252</v>
      </c>
      <c r="B142" s="67"/>
      <c r="C142" s="60"/>
      <c r="D142" s="84">
        <v>1.2</v>
      </c>
      <c r="E142" s="164"/>
      <c r="F142" s="88" t="s">
        <v>91</v>
      </c>
      <c r="G142" s="89">
        <f>E142*D142</f>
        <v>0</v>
      </c>
      <c r="H142" s="57"/>
      <c r="I142" s="17"/>
      <c r="J142" s="17" t="str">
        <f>IF(Table13[[#This Row],[Qty]]="","", IF(Table13[[#This Row],[Qty]]&gt;0,Table13[[#This Row],[Qty]]))</f>
        <v/>
      </c>
      <c r="K142" s="17">
        <v>37</v>
      </c>
      <c r="L142" s="36"/>
      <c r="M142" s="17"/>
      <c r="N142" s="17">
        <f>Table13[[#This Row],[Qty]]*Table13[[#This Row],[Weight / unit]]</f>
        <v>0</v>
      </c>
    </row>
    <row r="143" spans="1:14" s="9" customFormat="1" ht="20" customHeight="1" x14ac:dyDescent="0.35">
      <c r="A143" s="63" t="s">
        <v>253</v>
      </c>
      <c r="B143" s="67"/>
      <c r="C143" s="60"/>
      <c r="D143" s="84">
        <v>1.5</v>
      </c>
      <c r="E143" s="164"/>
      <c r="F143" s="88" t="s">
        <v>91</v>
      </c>
      <c r="G143" s="89">
        <f>E143*D143</f>
        <v>0</v>
      </c>
      <c r="H143" s="57"/>
      <c r="I143" s="17"/>
      <c r="J143" s="17" t="str">
        <f>IF(Table13[[#This Row],[Qty]]="","", IF(Table13[[#This Row],[Qty]]&gt;0,Table13[[#This Row],[Qty]]))</f>
        <v/>
      </c>
      <c r="K143" s="17">
        <v>44</v>
      </c>
      <c r="L143" s="36"/>
      <c r="M143" s="17"/>
      <c r="N143" s="17">
        <f>Table13[[#This Row],[Qty]]*Table13[[#This Row],[Weight / unit]]</f>
        <v>0</v>
      </c>
    </row>
    <row r="144" spans="1:14" s="9" customFormat="1" ht="20" customHeight="1" x14ac:dyDescent="0.35">
      <c r="A144" s="77" t="s">
        <v>281</v>
      </c>
      <c r="B144" s="78"/>
      <c r="C144" s="79"/>
      <c r="D144" s="80"/>
      <c r="E144" s="78"/>
      <c r="F144" s="81"/>
      <c r="G144" s="82" t="str">
        <f>IF(SUM(G145:G154)=0,"",SUM(G145:G154))</f>
        <v/>
      </c>
      <c r="H144" s="82"/>
      <c r="I144" s="82"/>
      <c r="J144" s="82"/>
      <c r="K144" s="82"/>
      <c r="L144" s="83"/>
      <c r="M144" s="82"/>
      <c r="N144" s="82"/>
    </row>
    <row r="145" spans="1:14" s="9" customFormat="1" ht="20" customHeight="1" x14ac:dyDescent="0.35">
      <c r="A145" s="63" t="s">
        <v>278</v>
      </c>
      <c r="B145" s="64"/>
      <c r="C145" s="60"/>
      <c r="D145" s="84">
        <f>Table13[[#This Row],[Total]]</f>
        <v>0</v>
      </c>
      <c r="E145" s="162"/>
      <c r="F145" s="163" t="s">
        <v>93</v>
      </c>
      <c r="G145" s="86">
        <f>IF(Table13[[#This Row],[Qty]]="Yes",Table13[[#This Row],['#bolts ordered]]*1.3,0)</f>
        <v>0</v>
      </c>
      <c r="H145" s="57">
        <f>SUM(H18:H100)</f>
        <v>0</v>
      </c>
      <c r="I145" s="17"/>
      <c r="J145" s="17">
        <f>IF(Table13[[#This Row],[Qty]]="Yes", SUM(J18:J100),0)</f>
        <v>0</v>
      </c>
      <c r="K145" s="17">
        <v>35</v>
      </c>
      <c r="L145" s="36"/>
      <c r="M145" s="17"/>
      <c r="N145" s="17">
        <f>IF(Table13[[#This Row],[Qty]]="Yes",Table13[[#This Row],['#bolts ordered]]*Table13[[#This Row],[Weight / unit]],0)</f>
        <v>0</v>
      </c>
    </row>
    <row r="146" spans="1:14" s="9" customFormat="1" ht="20" customHeight="1" x14ac:dyDescent="0.35">
      <c r="A146" s="63" t="s">
        <v>79</v>
      </c>
      <c r="B146" s="64" t="s">
        <v>181</v>
      </c>
      <c r="C146" s="60"/>
      <c r="D146" s="84">
        <v>1.03</v>
      </c>
      <c r="E146" s="162"/>
      <c r="F146" s="85" t="s">
        <v>91</v>
      </c>
      <c r="G146" s="86">
        <f t="shared" ref="G146:G154" si="30">E146*D146</f>
        <v>0</v>
      </c>
      <c r="H146" s="57"/>
      <c r="I146" s="17"/>
      <c r="J146" s="17" t="str">
        <f>IF(Table13[[#This Row],[Qty]]="","", IF(Table13[[#This Row],[Qty]]&gt;0,Table13[[#This Row],[Qty]]))</f>
        <v/>
      </c>
      <c r="K146" s="17">
        <v>22.3</v>
      </c>
      <c r="L146" s="36"/>
      <c r="M146" s="17"/>
      <c r="N146" s="17">
        <f>Table13[[#This Row],[Qty]]*Table13[[#This Row],[Weight / unit]]</f>
        <v>0</v>
      </c>
    </row>
    <row r="147" spans="1:14" s="9" customFormat="1" ht="20" customHeight="1" x14ac:dyDescent="0.35">
      <c r="A147" s="63" t="s">
        <v>80</v>
      </c>
      <c r="B147" s="64" t="s">
        <v>181</v>
      </c>
      <c r="C147" s="60"/>
      <c r="D147" s="84">
        <v>1.43</v>
      </c>
      <c r="E147" s="162"/>
      <c r="F147" s="85" t="s">
        <v>91</v>
      </c>
      <c r="G147" s="86">
        <f t="shared" ref="G147" si="31">E147*D147</f>
        <v>0</v>
      </c>
      <c r="H147" s="57"/>
      <c r="I147" s="17"/>
      <c r="J147" s="17" t="str">
        <f>IF(Table13[[#This Row],[Qty]]="","", IF(Table13[[#This Row],[Qty]]&gt;0,Table13[[#This Row],[Qty]]))</f>
        <v/>
      </c>
      <c r="K147" s="17">
        <v>25.1</v>
      </c>
      <c r="L147" s="36"/>
      <c r="M147" s="17"/>
      <c r="N147" s="17">
        <f>Table13[[#This Row],[Qty]]*Table13[[#This Row],[Weight / unit]]</f>
        <v>0</v>
      </c>
    </row>
    <row r="148" spans="1:14" s="9" customFormat="1" ht="20" customHeight="1" x14ac:dyDescent="0.35">
      <c r="A148" s="63" t="s">
        <v>163</v>
      </c>
      <c r="B148" s="64" t="s">
        <v>181</v>
      </c>
      <c r="C148" s="60"/>
      <c r="D148" s="84">
        <v>1.51</v>
      </c>
      <c r="E148" s="162"/>
      <c r="F148" s="85" t="s">
        <v>91</v>
      </c>
      <c r="G148" s="86">
        <f t="shared" ref="G148" si="32">E148*D148</f>
        <v>0</v>
      </c>
      <c r="H148" s="57"/>
      <c r="I148" s="17"/>
      <c r="J148" s="17" t="str">
        <f>IF(Table13[[#This Row],[Qty]]="","", IF(Table13[[#This Row],[Qty]]&gt;0,Table13[[#This Row],[Qty]]))</f>
        <v/>
      </c>
      <c r="K148" s="17">
        <v>26.1</v>
      </c>
      <c r="L148" s="36"/>
      <c r="M148" s="17"/>
      <c r="N148" s="17">
        <f>Table13[[#This Row],[Qty]]*Table13[[#This Row],[Weight / unit]]</f>
        <v>0</v>
      </c>
    </row>
    <row r="149" spans="1:14" s="9" customFormat="1" ht="20" customHeight="1" x14ac:dyDescent="0.35">
      <c r="A149" s="63" t="s">
        <v>83</v>
      </c>
      <c r="B149" s="64" t="s">
        <v>181</v>
      </c>
      <c r="C149" s="60"/>
      <c r="D149" s="84">
        <v>2.02</v>
      </c>
      <c r="E149" s="162"/>
      <c r="F149" s="85" t="s">
        <v>91</v>
      </c>
      <c r="G149" s="86">
        <f t="shared" si="30"/>
        <v>0</v>
      </c>
      <c r="H149" s="57"/>
      <c r="I149" s="17"/>
      <c r="J149" s="17" t="str">
        <f>IF(Table13[[#This Row],[Qty]]="","", IF(Table13[[#This Row],[Qty]]&gt;0,Table13[[#This Row],[Qty]]))</f>
        <v/>
      </c>
      <c r="K149" s="17">
        <v>31.3</v>
      </c>
      <c r="L149" s="36"/>
      <c r="M149" s="17"/>
      <c r="N149" s="17">
        <f>Table13[[#This Row],[Qty]]*Table13[[#This Row],[Weight / unit]]</f>
        <v>0</v>
      </c>
    </row>
    <row r="150" spans="1:14" s="9" customFormat="1" ht="20" customHeight="1" x14ac:dyDescent="0.35">
      <c r="A150" s="63" t="s">
        <v>141</v>
      </c>
      <c r="B150" s="64" t="s">
        <v>181</v>
      </c>
      <c r="C150" s="65"/>
      <c r="D150" s="84">
        <v>2.25</v>
      </c>
      <c r="E150" s="162"/>
      <c r="F150" s="85" t="s">
        <v>91</v>
      </c>
      <c r="G150" s="86">
        <f>E150*D150</f>
        <v>0</v>
      </c>
      <c r="H150" s="57"/>
      <c r="I150" s="17"/>
      <c r="J150" s="17" t="str">
        <f>IF(Table13[[#This Row],[Qty]]="","", IF(Table13[[#This Row],[Qty]]&gt;0,Table13[[#This Row],[Qty]]))</f>
        <v/>
      </c>
      <c r="K150" s="17">
        <v>35.799999999999997</v>
      </c>
      <c r="L150" s="36"/>
      <c r="M150" s="17"/>
      <c r="N150" s="17">
        <f>Table13[[#This Row],[Qty]]*Table13[[#This Row],[Weight / unit]]</f>
        <v>0</v>
      </c>
    </row>
    <row r="151" spans="1:14" s="9" customFormat="1" ht="20" customHeight="1" x14ac:dyDescent="0.35">
      <c r="A151" s="63" t="s">
        <v>82</v>
      </c>
      <c r="B151" s="64" t="s">
        <v>181</v>
      </c>
      <c r="C151" s="60"/>
      <c r="D151" s="84">
        <v>2.86</v>
      </c>
      <c r="E151" s="162"/>
      <c r="F151" s="85" t="s">
        <v>91</v>
      </c>
      <c r="G151" s="86">
        <f t="shared" ref="G151:G152" si="33">E151*D151</f>
        <v>0</v>
      </c>
      <c r="H151" s="57"/>
      <c r="I151" s="17"/>
      <c r="J151" s="17" t="str">
        <f>IF(Table13[[#This Row],[Qty]]="","", IF(Table13[[#This Row],[Qty]]&gt;0,Table13[[#This Row],[Qty]]))</f>
        <v/>
      </c>
      <c r="K151" s="17">
        <v>37.299999999999997</v>
      </c>
      <c r="L151" s="36"/>
      <c r="M151" s="17"/>
      <c r="N151" s="17">
        <f>Table13[[#This Row],[Qty]]*Table13[[#This Row],[Weight / unit]]</f>
        <v>0</v>
      </c>
    </row>
    <row r="152" spans="1:14" s="9" customFormat="1" ht="20" customHeight="1" x14ac:dyDescent="0.35">
      <c r="A152" s="63" t="s">
        <v>84</v>
      </c>
      <c r="B152" s="64" t="s">
        <v>181</v>
      </c>
      <c r="C152" s="60"/>
      <c r="D152" s="84">
        <v>3.05</v>
      </c>
      <c r="E152" s="162"/>
      <c r="F152" s="85" t="s">
        <v>91</v>
      </c>
      <c r="G152" s="86">
        <f t="shared" si="33"/>
        <v>0</v>
      </c>
      <c r="H152" s="57"/>
      <c r="I152" s="17"/>
      <c r="J152" s="17" t="str">
        <f>IF(Table13[[#This Row],[Qty]]="","", IF(Table13[[#This Row],[Qty]]&gt;0,Table13[[#This Row],[Qty]]))</f>
        <v/>
      </c>
      <c r="K152" s="17">
        <v>46</v>
      </c>
      <c r="L152" s="36"/>
      <c r="M152" s="17"/>
      <c r="N152" s="17">
        <f>Table13[[#This Row],[Qty]]*Table13[[#This Row],[Weight / unit]]</f>
        <v>0</v>
      </c>
    </row>
    <row r="153" spans="1:14" s="9" customFormat="1" ht="20" customHeight="1" x14ac:dyDescent="0.35">
      <c r="A153" s="63" t="s">
        <v>85</v>
      </c>
      <c r="B153" s="64" t="s">
        <v>181</v>
      </c>
      <c r="C153" s="60"/>
      <c r="D153" s="84">
        <v>4.75</v>
      </c>
      <c r="E153" s="162"/>
      <c r="F153" s="85" t="s">
        <v>91</v>
      </c>
      <c r="G153" s="86">
        <f t="shared" ref="G153" si="34">E153*D153</f>
        <v>0</v>
      </c>
      <c r="H153" s="57"/>
      <c r="I153" s="17"/>
      <c r="J153" s="17" t="str">
        <f>IF(Table13[[#This Row],[Qty]]="","", IF(Table13[[#This Row],[Qty]]&gt;0,Table13[[#This Row],[Qty]]))</f>
        <v/>
      </c>
      <c r="K153" s="17">
        <v>53</v>
      </c>
      <c r="L153" s="36"/>
      <c r="M153" s="17"/>
      <c r="N153" s="17">
        <f>Table13[[#This Row],[Qty]]*Table13[[#This Row],[Weight / unit]]</f>
        <v>0</v>
      </c>
    </row>
    <row r="154" spans="1:14" s="9" customFormat="1" ht="20" customHeight="1" x14ac:dyDescent="0.35">
      <c r="A154" s="63" t="s">
        <v>86</v>
      </c>
      <c r="B154" s="64" t="s">
        <v>181</v>
      </c>
      <c r="C154" s="60"/>
      <c r="D154" s="84">
        <v>4.05</v>
      </c>
      <c r="E154" s="162"/>
      <c r="F154" s="85" t="s">
        <v>91</v>
      </c>
      <c r="G154" s="86">
        <f t="shared" si="30"/>
        <v>0</v>
      </c>
      <c r="H154" s="57"/>
      <c r="I154" s="17"/>
      <c r="J154" s="17" t="str">
        <f>IF(Table13[[#This Row],[Qty]]="","", IF(Table13[[#This Row],[Qty]]&gt;0,Table13[[#This Row],[Qty]]))</f>
        <v/>
      </c>
      <c r="K154" s="17">
        <v>60</v>
      </c>
      <c r="L154" s="36"/>
      <c r="M154" s="17"/>
      <c r="N154" s="17">
        <f>Table13[[#This Row],[Qty]]*Table13[[#This Row],[Weight / unit]]</f>
        <v>0</v>
      </c>
    </row>
    <row r="155" spans="1:14" s="9" customFormat="1" ht="20" customHeight="1" x14ac:dyDescent="0.35">
      <c r="A155" s="77" t="s">
        <v>285</v>
      </c>
      <c r="B155" s="78"/>
      <c r="C155" s="79"/>
      <c r="D155" s="80"/>
      <c r="E155" s="78"/>
      <c r="F155" s="81"/>
      <c r="G155" s="82" t="str">
        <f>IF(SUM(G156:G161)=0,"",SUM(G156:G161))</f>
        <v/>
      </c>
      <c r="H155" s="82"/>
      <c r="I155" s="82"/>
      <c r="J155" s="82"/>
      <c r="K155" s="82"/>
      <c r="L155" s="83"/>
      <c r="M155" s="82"/>
      <c r="N155" s="82"/>
    </row>
    <row r="156" spans="1:14" s="9" customFormat="1" ht="20" customHeight="1" x14ac:dyDescent="0.35">
      <c r="A156" s="63" t="s">
        <v>144</v>
      </c>
      <c r="B156" s="64" t="s">
        <v>181</v>
      </c>
      <c r="C156" s="90"/>
      <c r="D156" s="84">
        <v>1.24</v>
      </c>
      <c r="E156" s="164"/>
      <c r="F156" s="85" t="s">
        <v>91</v>
      </c>
      <c r="G156" s="89">
        <f t="shared" ref="G156:G161" si="35">E156*D156</f>
        <v>0</v>
      </c>
      <c r="H156" s="17"/>
      <c r="I156" s="17"/>
      <c r="J156" s="17" t="str">
        <f>IF(Table13[[#This Row],[Qty]]="","", IF(Table13[[#This Row],[Qty]]&gt;0,Table13[[#This Row],[Qty]]))</f>
        <v/>
      </c>
      <c r="K156" s="17">
        <v>23</v>
      </c>
      <c r="L156" s="36"/>
      <c r="M156" s="17"/>
      <c r="N156" s="17">
        <f>Table13[[#This Row],[Qty]]*Table13[[#This Row],[Weight / unit]]</f>
        <v>0</v>
      </c>
    </row>
    <row r="157" spans="1:14" s="9" customFormat="1" ht="20" customHeight="1" x14ac:dyDescent="0.35">
      <c r="A157" s="63" t="s">
        <v>286</v>
      </c>
      <c r="B157" s="64" t="s">
        <v>181</v>
      </c>
      <c r="C157" s="90"/>
      <c r="D157" s="84">
        <v>1.46</v>
      </c>
      <c r="E157" s="164"/>
      <c r="F157" s="85" t="s">
        <v>91</v>
      </c>
      <c r="G157" s="89">
        <f t="shared" si="35"/>
        <v>0</v>
      </c>
      <c r="H157" s="17"/>
      <c r="I157" s="17"/>
      <c r="J157" s="17" t="str">
        <f>IF(Table13[[#This Row],[Qty]]="","", IF(Table13[[#This Row],[Qty]]&gt;0,Table13[[#This Row],[Qty]]))</f>
        <v/>
      </c>
      <c r="K157" s="17">
        <v>27</v>
      </c>
      <c r="L157" s="36"/>
      <c r="M157" s="17"/>
      <c r="N157" s="17">
        <f>Table13[[#This Row],[Qty]]*Table13[[#This Row],[Weight / unit]]</f>
        <v>0</v>
      </c>
    </row>
    <row r="158" spans="1:14" s="9" customFormat="1" ht="20" customHeight="1" x14ac:dyDescent="0.35">
      <c r="A158" s="63" t="s">
        <v>251</v>
      </c>
      <c r="B158" s="64" t="s">
        <v>181</v>
      </c>
      <c r="C158" s="90"/>
      <c r="D158" s="84">
        <v>1.9</v>
      </c>
      <c r="E158" s="164"/>
      <c r="F158" s="85" t="s">
        <v>91</v>
      </c>
      <c r="G158" s="89">
        <f t="shared" si="35"/>
        <v>0</v>
      </c>
      <c r="H158" s="17"/>
      <c r="I158" s="17"/>
      <c r="J158" s="17" t="str">
        <f>IF(Table13[[#This Row],[Qty]]="","", IF(Table13[[#This Row],[Qty]]&gt;0,Table13[[#This Row],[Qty]]))</f>
        <v/>
      </c>
      <c r="K158" s="17">
        <v>30</v>
      </c>
      <c r="L158" s="36"/>
      <c r="M158" s="17"/>
      <c r="N158" s="17">
        <f>Table13[[#This Row],[Qty]]*Table13[[#This Row],[Weight / unit]]</f>
        <v>0</v>
      </c>
    </row>
    <row r="159" spans="1:14" s="9" customFormat="1" ht="20" customHeight="1" x14ac:dyDescent="0.35">
      <c r="A159" s="63" t="s">
        <v>287</v>
      </c>
      <c r="B159" s="64" t="s">
        <v>181</v>
      </c>
      <c r="C159" s="90"/>
      <c r="D159" s="84">
        <v>2.4500000000000002</v>
      </c>
      <c r="E159" s="164"/>
      <c r="F159" s="85" t="s">
        <v>91</v>
      </c>
      <c r="G159" s="89">
        <f t="shared" si="35"/>
        <v>0</v>
      </c>
      <c r="H159" s="17"/>
      <c r="I159" s="17"/>
      <c r="J159" s="17" t="str">
        <f>IF(Table13[[#This Row],[Qty]]="","", IF(Table13[[#This Row],[Qty]]&gt;0,Table13[[#This Row],[Qty]]))</f>
        <v/>
      </c>
      <c r="K159" s="17">
        <v>34</v>
      </c>
      <c r="L159" s="36"/>
      <c r="M159" s="17"/>
      <c r="N159" s="17">
        <f>Table13[[#This Row],[Qty]]*Table13[[#This Row],[Weight / unit]]</f>
        <v>0</v>
      </c>
    </row>
    <row r="160" spans="1:14" s="9" customFormat="1" ht="20" customHeight="1" x14ac:dyDescent="0.35">
      <c r="A160" s="63" t="s">
        <v>252</v>
      </c>
      <c r="B160" s="64" t="s">
        <v>181</v>
      </c>
      <c r="C160" s="90"/>
      <c r="D160" s="84">
        <v>2.09</v>
      </c>
      <c r="E160" s="164"/>
      <c r="F160" s="85" t="s">
        <v>91</v>
      </c>
      <c r="G160" s="89">
        <f t="shared" si="35"/>
        <v>0</v>
      </c>
      <c r="H160" s="17"/>
      <c r="I160" s="17"/>
      <c r="J160" s="17" t="str">
        <f>IF(Table13[[#This Row],[Qty]]="","", IF(Table13[[#This Row],[Qty]]&gt;0,Table13[[#This Row],[Qty]]))</f>
        <v/>
      </c>
      <c r="K160" s="17">
        <v>37</v>
      </c>
      <c r="L160" s="36"/>
      <c r="M160" s="17"/>
      <c r="N160" s="17">
        <f>Table13[[#This Row],[Qty]]*Table13[[#This Row],[Weight / unit]]</f>
        <v>0</v>
      </c>
    </row>
    <row r="161" spans="1:14" s="9" customFormat="1" ht="20" customHeight="1" x14ac:dyDescent="0.35">
      <c r="A161" s="63" t="s">
        <v>253</v>
      </c>
      <c r="B161" s="64" t="s">
        <v>181</v>
      </c>
      <c r="C161" s="90"/>
      <c r="D161" s="84">
        <v>2.7</v>
      </c>
      <c r="E161" s="164"/>
      <c r="F161" s="85" t="s">
        <v>91</v>
      </c>
      <c r="G161" s="89">
        <f t="shared" si="35"/>
        <v>0</v>
      </c>
      <c r="H161" s="17"/>
      <c r="I161" s="17"/>
      <c r="J161" s="17" t="str">
        <f>IF(Table13[[#This Row],[Qty]]="","", IF(Table13[[#This Row],[Qty]]&gt;0,Table13[[#This Row],[Qty]]))</f>
        <v/>
      </c>
      <c r="K161" s="17">
        <v>44</v>
      </c>
      <c r="L161" s="36"/>
      <c r="M161" s="17"/>
      <c r="N161" s="17">
        <f>Table13[[#This Row],[Qty]]*Table13[[#This Row],[Weight / unit]]</f>
        <v>0</v>
      </c>
    </row>
    <row r="162" spans="1:14" s="9" customFormat="1" ht="20" customHeight="1" x14ac:dyDescent="0.35">
      <c r="A162" s="91" t="s">
        <v>232</v>
      </c>
      <c r="B162" s="92"/>
      <c r="C162" s="93"/>
      <c r="D162" s="94"/>
      <c r="E162" s="92"/>
      <c r="F162" s="95"/>
      <c r="G162" s="96" t="str">
        <f>IF(SUM(G163:G179)=0,"",SUM(G163:G179))</f>
        <v/>
      </c>
      <c r="H162" s="96"/>
      <c r="I162" s="96"/>
      <c r="J162" s="96"/>
      <c r="K162" s="96"/>
      <c r="L162" s="97"/>
      <c r="M162" s="96"/>
      <c r="N162" s="96"/>
    </row>
    <row r="163" spans="1:14" s="9" customFormat="1" ht="20" customHeight="1" x14ac:dyDescent="0.35">
      <c r="A163" s="63" t="s">
        <v>95</v>
      </c>
      <c r="B163" s="64"/>
      <c r="C163" s="60"/>
      <c r="D163" s="84">
        <f>Table13[[#This Row],[Total]]</f>
        <v>0</v>
      </c>
      <c r="E163" s="162"/>
      <c r="F163" s="163" t="s">
        <v>93</v>
      </c>
      <c r="G163" s="86">
        <f>IF(Table13[[#This Row],[Qty]]="Yes",Table13[[#This Row],['#bolts ordered]]*0.75,0)</f>
        <v>0</v>
      </c>
      <c r="H163" s="57">
        <f>SUM(H18:H100)</f>
        <v>0</v>
      </c>
      <c r="I163" s="17"/>
      <c r="J163" s="17">
        <f>IF(Table13[[#This Row],[Qty]]="Yes", SUM(J18:J100),0)</f>
        <v>0</v>
      </c>
      <c r="K163" s="17">
        <v>35</v>
      </c>
      <c r="L163" s="36"/>
      <c r="M163" s="17"/>
      <c r="N163" s="17">
        <f>IF(Table13[[#This Row],[Qty]]="Yes",Table13[[#This Row],['#bolts ordered]]*Table13[[#This Row],[Weight / unit]],0)</f>
        <v>0</v>
      </c>
    </row>
    <row r="164" spans="1:14" s="9" customFormat="1" ht="20" customHeight="1" x14ac:dyDescent="0.35">
      <c r="A164" s="63" t="s">
        <v>289</v>
      </c>
      <c r="B164" s="64"/>
      <c r="C164" s="60"/>
      <c r="D164" s="84">
        <v>0.42</v>
      </c>
      <c r="E164" s="162"/>
      <c r="F164" s="85" t="s">
        <v>91</v>
      </c>
      <c r="G164" s="86">
        <f>E164*D164</f>
        <v>0</v>
      </c>
      <c r="H164" s="57"/>
      <c r="I164" s="17"/>
      <c r="J164" s="17" t="str">
        <f>IF(Table13[[#This Row],[Qty]]="","", IF(Table13[[#This Row],[Qty]]&gt;0,Table13[[#This Row],[Qty]]))</f>
        <v/>
      </c>
      <c r="K164" s="17">
        <v>29.1</v>
      </c>
      <c r="L164" s="36"/>
      <c r="M164" s="36"/>
      <c r="N164" s="17">
        <f>Table13[[#This Row],[Qty]]*Table13[[#This Row],[Weight / unit]]</f>
        <v>0</v>
      </c>
    </row>
    <row r="165" spans="1:14" s="9" customFormat="1" ht="20" customHeight="1" x14ac:dyDescent="0.35">
      <c r="A165" s="63" t="s">
        <v>196</v>
      </c>
      <c r="B165" s="64"/>
      <c r="C165" s="60"/>
      <c r="D165" s="84">
        <v>0.49</v>
      </c>
      <c r="E165" s="162"/>
      <c r="F165" s="85" t="s">
        <v>91</v>
      </c>
      <c r="G165" s="86">
        <f>E165*D165</f>
        <v>0</v>
      </c>
      <c r="H165" s="57"/>
      <c r="I165" s="17"/>
      <c r="J165" s="17" t="str">
        <f>IF(Table13[[#This Row],[Qty]]="","", IF(Table13[[#This Row],[Qty]]&gt;0,Table13[[#This Row],[Qty]]))</f>
        <v/>
      </c>
      <c r="K165" s="17">
        <v>31.4</v>
      </c>
      <c r="L165" s="36"/>
      <c r="M165" s="36"/>
      <c r="N165" s="17">
        <f>Table13[[#This Row],[Qty]]*Table13[[#This Row],[Weight / unit]]</f>
        <v>0</v>
      </c>
    </row>
    <row r="166" spans="1:14" s="9" customFormat="1" ht="20" customHeight="1" x14ac:dyDescent="0.35">
      <c r="A166" s="63" t="s">
        <v>197</v>
      </c>
      <c r="B166" s="64"/>
      <c r="C166" s="60"/>
      <c r="D166" s="84">
        <v>0.55000000000000004</v>
      </c>
      <c r="E166" s="162"/>
      <c r="F166" s="85" t="s">
        <v>91</v>
      </c>
      <c r="G166" s="86">
        <f t="shared" ref="G166:G169" si="36">E166*D166</f>
        <v>0</v>
      </c>
      <c r="H166" s="57"/>
      <c r="I166" s="17"/>
      <c r="J166" s="17" t="str">
        <f>IF(Table13[[#This Row],[Qty]]="","", IF(Table13[[#This Row],[Qty]]&gt;0,Table13[[#This Row],[Qty]]))</f>
        <v/>
      </c>
      <c r="K166" s="17">
        <v>34.9</v>
      </c>
      <c r="L166" s="36"/>
      <c r="M166" s="36"/>
      <c r="N166" s="17">
        <f>Table13[[#This Row],[Qty]]*Table13[[#This Row],[Weight / unit]]</f>
        <v>0</v>
      </c>
    </row>
    <row r="167" spans="1:14" s="9" customFormat="1" ht="20" customHeight="1" x14ac:dyDescent="0.35">
      <c r="A167" s="87" t="s">
        <v>198</v>
      </c>
      <c r="B167" s="64"/>
      <c r="C167" s="60"/>
      <c r="D167" s="84">
        <v>0.61</v>
      </c>
      <c r="E167" s="162"/>
      <c r="F167" s="85" t="s">
        <v>91</v>
      </c>
      <c r="G167" s="86">
        <f t="shared" si="36"/>
        <v>0</v>
      </c>
      <c r="H167" s="57"/>
      <c r="I167" s="17"/>
      <c r="J167" s="17" t="str">
        <f>IF(Table13[[#This Row],[Qty]]="","", IF(Table13[[#This Row],[Qty]]&gt;0,Table13[[#This Row],[Qty]]))</f>
        <v/>
      </c>
      <c r="K167" s="17">
        <v>37.799999999999997</v>
      </c>
      <c r="L167" s="36"/>
      <c r="M167" s="36"/>
      <c r="N167" s="17">
        <f>Table13[[#This Row],[Qty]]*Table13[[#This Row],[Weight / unit]]</f>
        <v>0</v>
      </c>
    </row>
    <row r="168" spans="1:14" s="9" customFormat="1" ht="20" customHeight="1" x14ac:dyDescent="0.35">
      <c r="A168" s="63" t="s">
        <v>199</v>
      </c>
      <c r="B168" s="64"/>
      <c r="C168" s="60"/>
      <c r="D168" s="84">
        <v>0.64</v>
      </c>
      <c r="E168" s="162"/>
      <c r="F168" s="85" t="s">
        <v>91</v>
      </c>
      <c r="G168" s="86">
        <f t="shared" si="36"/>
        <v>0</v>
      </c>
      <c r="H168" s="57"/>
      <c r="I168" s="17"/>
      <c r="J168" s="17" t="str">
        <f>IF(Table13[[#This Row],[Qty]]="","", IF(Table13[[#This Row],[Qty]]&gt;0,Table13[[#This Row],[Qty]]))</f>
        <v/>
      </c>
      <c r="K168" s="17">
        <v>41.3</v>
      </c>
      <c r="L168" s="36"/>
      <c r="M168" s="36"/>
      <c r="N168" s="17">
        <f>Table13[[#This Row],[Qty]]*Table13[[#This Row],[Weight / unit]]</f>
        <v>0</v>
      </c>
    </row>
    <row r="169" spans="1:14" s="9" customFormat="1" ht="20" customHeight="1" x14ac:dyDescent="0.35">
      <c r="A169" s="63" t="s">
        <v>200</v>
      </c>
      <c r="B169" s="64"/>
      <c r="C169" s="60"/>
      <c r="D169" s="84">
        <v>0.67</v>
      </c>
      <c r="E169" s="162"/>
      <c r="F169" s="85" t="s">
        <v>91</v>
      </c>
      <c r="G169" s="86">
        <f t="shared" si="36"/>
        <v>0</v>
      </c>
      <c r="H169" s="57"/>
      <c r="I169" s="17"/>
      <c r="J169" s="17" t="str">
        <f>IF(Table13[[#This Row],[Qty]]="","", IF(Table13[[#This Row],[Qty]]&gt;0,Table13[[#This Row],[Qty]]))</f>
        <v/>
      </c>
      <c r="K169" s="17">
        <v>43.8</v>
      </c>
      <c r="L169" s="36"/>
      <c r="M169" s="36"/>
      <c r="N169" s="17">
        <f>Table13[[#This Row],[Qty]]*Table13[[#This Row],[Weight / unit]]</f>
        <v>0</v>
      </c>
    </row>
    <row r="170" spans="1:14" s="9" customFormat="1" ht="20" customHeight="1" x14ac:dyDescent="0.35">
      <c r="A170" s="63" t="s">
        <v>201</v>
      </c>
      <c r="B170" s="64"/>
      <c r="C170" s="60"/>
      <c r="D170" s="84">
        <v>0.75</v>
      </c>
      <c r="E170" s="162"/>
      <c r="F170" s="85" t="s">
        <v>91</v>
      </c>
      <c r="G170" s="86">
        <f t="shared" ref="G170" si="37">E170*D170</f>
        <v>0</v>
      </c>
      <c r="H170" s="57"/>
      <c r="I170" s="17"/>
      <c r="J170" s="17" t="str">
        <f>IF(Table13[[#This Row],[Qty]]="","", IF(Table13[[#This Row],[Qty]]&gt;0,Table13[[#This Row],[Qty]]))</f>
        <v/>
      </c>
      <c r="K170" s="17">
        <v>46.9</v>
      </c>
      <c r="L170" s="36"/>
      <c r="M170" s="36"/>
      <c r="N170" s="17">
        <f>Table13[[#This Row],[Qty]]*Table13[[#This Row],[Weight / unit]]</f>
        <v>0</v>
      </c>
    </row>
    <row r="171" spans="1:14" s="9" customFormat="1" ht="20" customHeight="1" x14ac:dyDescent="0.35">
      <c r="A171" s="63" t="s">
        <v>240</v>
      </c>
      <c r="B171" s="64"/>
      <c r="C171" s="60"/>
      <c r="D171" s="84">
        <v>0.82</v>
      </c>
      <c r="E171" s="162"/>
      <c r="F171" s="85" t="s">
        <v>91</v>
      </c>
      <c r="G171" s="86">
        <f t="shared" ref="G171:G179" si="38">E171*D171</f>
        <v>0</v>
      </c>
      <c r="H171" s="57"/>
      <c r="I171" s="17"/>
      <c r="J171" s="17" t="str">
        <f>IF(Table13[[#This Row],[Qty]]="","", IF(Table13[[#This Row],[Qty]]&gt;0,Table13[[#This Row],[Qty]]))</f>
        <v/>
      </c>
      <c r="K171" s="17">
        <v>49.8</v>
      </c>
      <c r="L171" s="36"/>
      <c r="M171" s="36"/>
      <c r="N171" s="17">
        <f>Table13[[#This Row],[Qty]]*Table13[[#This Row],[Weight / unit]]</f>
        <v>0</v>
      </c>
    </row>
    <row r="172" spans="1:14" s="9" customFormat="1" ht="20" customHeight="1" x14ac:dyDescent="0.35">
      <c r="A172" s="63" t="s">
        <v>290</v>
      </c>
      <c r="B172" s="64"/>
      <c r="C172" s="60"/>
      <c r="D172" s="84">
        <v>1.03</v>
      </c>
      <c r="E172" s="162"/>
      <c r="F172" s="85" t="s">
        <v>91</v>
      </c>
      <c r="G172" s="86">
        <f t="shared" si="38"/>
        <v>0</v>
      </c>
      <c r="H172" s="57"/>
      <c r="I172" s="17"/>
      <c r="J172" s="17" t="str">
        <f>IF(Table13[[#This Row],[Qty]]="","", IF(Table13[[#This Row],[Qty]]&gt;0,Table13[[#This Row],[Qty]]))</f>
        <v/>
      </c>
      <c r="K172" s="17">
        <v>52.8</v>
      </c>
      <c r="L172" s="36"/>
      <c r="M172" s="36"/>
      <c r="N172" s="17">
        <f>Table13[[#This Row],[Qty]]*Table13[[#This Row],[Weight / unit]]</f>
        <v>0</v>
      </c>
    </row>
    <row r="173" spans="1:14" s="9" customFormat="1" ht="20" customHeight="1" x14ac:dyDescent="0.35">
      <c r="A173" s="63" t="s">
        <v>291</v>
      </c>
      <c r="B173" s="64"/>
      <c r="C173" s="60"/>
      <c r="D173" s="84">
        <v>1.24</v>
      </c>
      <c r="E173" s="162"/>
      <c r="F173" s="85" t="s">
        <v>91</v>
      </c>
      <c r="G173" s="86">
        <f t="shared" si="38"/>
        <v>0</v>
      </c>
      <c r="H173" s="57"/>
      <c r="I173" s="17"/>
      <c r="J173" s="17" t="str">
        <f>IF(Table13[[#This Row],[Qty]]="","", IF(Table13[[#This Row],[Qty]]&gt;0,Table13[[#This Row],[Qty]]))</f>
        <v/>
      </c>
      <c r="K173" s="17">
        <v>55.6</v>
      </c>
      <c r="L173" s="36"/>
      <c r="M173" s="36"/>
      <c r="N173" s="17">
        <f>Table13[[#This Row],[Qty]]*Table13[[#This Row],[Weight / unit]]</f>
        <v>0</v>
      </c>
    </row>
    <row r="174" spans="1:14" s="9" customFormat="1" ht="20" customHeight="1" x14ac:dyDescent="0.35">
      <c r="A174" s="63" t="s">
        <v>292</v>
      </c>
      <c r="B174" s="64"/>
      <c r="C174" s="60"/>
      <c r="D174" s="84">
        <v>1.32</v>
      </c>
      <c r="E174" s="162"/>
      <c r="F174" s="85" t="s">
        <v>91</v>
      </c>
      <c r="G174" s="86">
        <f t="shared" si="38"/>
        <v>0</v>
      </c>
      <c r="H174" s="57"/>
      <c r="I174" s="17"/>
      <c r="J174" s="17" t="str">
        <f>IF(Table13[[#This Row],[Qty]]="","", IF(Table13[[#This Row],[Qty]]&gt;0,Table13[[#This Row],[Qty]]))</f>
        <v/>
      </c>
      <c r="K174" s="17">
        <v>62</v>
      </c>
      <c r="L174" s="36"/>
      <c r="M174" s="36"/>
      <c r="N174" s="17">
        <f>Table13[[#This Row],[Qty]]*Table13[[#This Row],[Weight / unit]]</f>
        <v>0</v>
      </c>
    </row>
    <row r="175" spans="1:14" s="9" customFormat="1" ht="20" customHeight="1" x14ac:dyDescent="0.35">
      <c r="A175" s="63" t="s">
        <v>293</v>
      </c>
      <c r="B175" s="64"/>
      <c r="C175" s="60"/>
      <c r="D175" s="84">
        <v>1.39</v>
      </c>
      <c r="E175" s="162"/>
      <c r="F175" s="85" t="s">
        <v>91</v>
      </c>
      <c r="G175" s="86">
        <f t="shared" si="38"/>
        <v>0</v>
      </c>
      <c r="H175" s="57"/>
      <c r="I175" s="17"/>
      <c r="J175" s="17" t="str">
        <f>IF(Table13[[#This Row],[Qty]]="","", IF(Table13[[#This Row],[Qty]]&gt;0,Table13[[#This Row],[Qty]]))</f>
        <v/>
      </c>
      <c r="K175" s="17">
        <v>68</v>
      </c>
      <c r="L175" s="36"/>
      <c r="M175" s="36"/>
      <c r="N175" s="17">
        <f>Table13[[#This Row],[Qty]]*Table13[[#This Row],[Weight / unit]]</f>
        <v>0</v>
      </c>
    </row>
    <row r="176" spans="1:14" s="9" customFormat="1" ht="20" customHeight="1" x14ac:dyDescent="0.35">
      <c r="A176" s="63" t="s">
        <v>304</v>
      </c>
      <c r="B176" s="64"/>
      <c r="C176" s="60"/>
      <c r="D176" s="84">
        <v>2.0299999999999998</v>
      </c>
      <c r="E176" s="162"/>
      <c r="F176" s="85" t="s">
        <v>91</v>
      </c>
      <c r="G176" s="86">
        <f t="shared" si="38"/>
        <v>0</v>
      </c>
      <c r="H176" s="57"/>
      <c r="I176" s="17"/>
      <c r="J176" s="17" t="str">
        <f>IF(Table13[[#This Row],[Qty]]="","", IF(Table13[[#This Row],[Qty]]&gt;0,Table13[[#This Row],[Qty]]))</f>
        <v/>
      </c>
      <c r="K176" s="17">
        <v>74</v>
      </c>
      <c r="L176" s="36"/>
      <c r="M176" s="36"/>
      <c r="N176" s="17">
        <f>Table13[[#This Row],[Qty]]*Table13[[#This Row],[Weight / unit]]</f>
        <v>0</v>
      </c>
    </row>
    <row r="177" spans="1:14" s="9" customFormat="1" ht="20" customHeight="1" x14ac:dyDescent="0.35">
      <c r="A177" s="63" t="s">
        <v>294</v>
      </c>
      <c r="B177" s="64"/>
      <c r="C177" s="60"/>
      <c r="D177" s="84">
        <v>2.2000000000000002</v>
      </c>
      <c r="E177" s="162"/>
      <c r="F177" s="85" t="s">
        <v>91</v>
      </c>
      <c r="G177" s="86">
        <f t="shared" si="38"/>
        <v>0</v>
      </c>
      <c r="H177" s="57"/>
      <c r="I177" s="17"/>
      <c r="J177" s="17" t="str">
        <f>IF(Table13[[#This Row],[Qty]]="","", IF(Table13[[#This Row],[Qty]]&gt;0,Table13[[#This Row],[Qty]]))</f>
        <v/>
      </c>
      <c r="K177" s="17">
        <v>80</v>
      </c>
      <c r="L177" s="36"/>
      <c r="M177" s="36"/>
      <c r="N177" s="17">
        <f>Table13[[#This Row],[Qty]]*Table13[[#This Row],[Weight / unit]]</f>
        <v>0</v>
      </c>
    </row>
    <row r="178" spans="1:14" s="9" customFormat="1" ht="20" customHeight="1" x14ac:dyDescent="0.35">
      <c r="A178" s="63" t="s">
        <v>305</v>
      </c>
      <c r="B178" s="64"/>
      <c r="C178" s="60"/>
      <c r="D178" s="84">
        <v>4.25</v>
      </c>
      <c r="E178" s="162"/>
      <c r="F178" s="85" t="s">
        <v>91</v>
      </c>
      <c r="G178" s="86">
        <f t="shared" si="38"/>
        <v>0</v>
      </c>
      <c r="H178" s="57"/>
      <c r="I178" s="17"/>
      <c r="J178" s="17" t="str">
        <f>IF(Table13[[#This Row],[Qty]]="","", IF(Table13[[#This Row],[Qty]]&gt;0,Table13[[#This Row],[Qty]]))</f>
        <v/>
      </c>
      <c r="K178" s="17">
        <v>92</v>
      </c>
      <c r="L178" s="36"/>
      <c r="M178" s="36"/>
      <c r="N178" s="17">
        <f>Table13[[#This Row],[Qty]]*Table13[[#This Row],[Weight / unit]]</f>
        <v>0</v>
      </c>
    </row>
    <row r="179" spans="1:14" s="9" customFormat="1" ht="20" customHeight="1" x14ac:dyDescent="0.35">
      <c r="A179" s="63" t="s">
        <v>306</v>
      </c>
      <c r="B179" s="64"/>
      <c r="C179" s="60"/>
      <c r="D179" s="84">
        <v>6.23</v>
      </c>
      <c r="E179" s="162"/>
      <c r="F179" s="85" t="s">
        <v>91</v>
      </c>
      <c r="G179" s="86">
        <f t="shared" si="38"/>
        <v>0</v>
      </c>
      <c r="H179" s="57"/>
      <c r="I179" s="17"/>
      <c r="J179" s="17" t="str">
        <f>IF(Table13[[#This Row],[Qty]]="","", IF(Table13[[#This Row],[Qty]]&gt;0,Table13[[#This Row],[Qty]]))</f>
        <v/>
      </c>
      <c r="K179" s="17">
        <v>104</v>
      </c>
      <c r="L179" s="36"/>
      <c r="M179" s="36"/>
      <c r="N179" s="17">
        <f>Table13[[#This Row],[Qty]]*Table13[[#This Row],[Weight / unit]]</f>
        <v>0</v>
      </c>
    </row>
    <row r="180" spans="1:14" s="9" customFormat="1" ht="20" customHeight="1" x14ac:dyDescent="0.35">
      <c r="A180" s="91" t="s">
        <v>282</v>
      </c>
      <c r="B180" s="92"/>
      <c r="C180" s="93"/>
      <c r="D180" s="94"/>
      <c r="E180" s="92"/>
      <c r="F180" s="95"/>
      <c r="G180" s="96" t="str">
        <f>IF(SUM(G181:G193)=0,"",SUM(G181:G193))</f>
        <v/>
      </c>
      <c r="H180" s="96"/>
      <c r="I180" s="96"/>
      <c r="J180" s="96"/>
      <c r="K180" s="96"/>
      <c r="L180" s="97"/>
      <c r="M180" s="96"/>
      <c r="N180" s="96"/>
    </row>
    <row r="181" spans="1:14" s="9" customFormat="1" ht="20" customHeight="1" x14ac:dyDescent="0.35">
      <c r="A181" s="63" t="s">
        <v>278</v>
      </c>
      <c r="B181" s="64"/>
      <c r="C181" s="60"/>
      <c r="D181" s="84">
        <f>Table13[[#This Row],[Total]]</f>
        <v>0</v>
      </c>
      <c r="E181" s="162"/>
      <c r="F181" s="163" t="s">
        <v>93</v>
      </c>
      <c r="G181" s="86">
        <f>IF(Table13[[#This Row],[Qty]]="Yes",Table13[[#This Row],['#bolts ordered]]*1.5,0)</f>
        <v>0</v>
      </c>
      <c r="H181" s="57">
        <f>SUM(H18:H100)</f>
        <v>0</v>
      </c>
      <c r="I181" s="17"/>
      <c r="J181" s="17">
        <f>IF(Table13[[#This Row],[Qty]]="Yes", SUM(J18:J100),0)</f>
        <v>0</v>
      </c>
      <c r="K181" s="17">
        <v>38</v>
      </c>
      <c r="L181" s="36"/>
      <c r="M181" s="17"/>
      <c r="N181" s="17">
        <f>IF(Table13[[#This Row],[Qty]]="Yes",Table13[[#This Row],['#bolts ordered]]*Table13[[#This Row],[Weight / unit]],0)</f>
        <v>0</v>
      </c>
    </row>
    <row r="182" spans="1:14" s="9" customFormat="1" ht="20" customHeight="1" x14ac:dyDescent="0.35">
      <c r="A182" s="63" t="s">
        <v>234</v>
      </c>
      <c r="B182" s="67" t="s">
        <v>181</v>
      </c>
      <c r="C182" s="98"/>
      <c r="D182" s="84">
        <v>1.1399999999999999</v>
      </c>
      <c r="E182" s="164"/>
      <c r="F182" s="88" t="s">
        <v>91</v>
      </c>
      <c r="G182" s="89">
        <f t="shared" ref="G182:G193" si="39">E182*D182</f>
        <v>0</v>
      </c>
      <c r="H182" s="17"/>
      <c r="I182" s="17"/>
      <c r="J182" s="17" t="str">
        <f>IF(Table13[[#This Row],[Qty]]="","", IF(Table13[[#This Row],[Qty]]&gt;0,Table13[[#This Row],[Qty]]))</f>
        <v/>
      </c>
      <c r="K182" s="17">
        <v>32</v>
      </c>
      <c r="L182" s="36"/>
      <c r="M182" s="17"/>
      <c r="N182" s="17">
        <f>Table13[[#This Row],[Qty]]*Table13[[#This Row],[Weight / unit]]</f>
        <v>0</v>
      </c>
    </row>
    <row r="183" spans="1:14" s="9" customFormat="1" ht="20" customHeight="1" x14ac:dyDescent="0.35">
      <c r="A183" s="63" t="s">
        <v>235</v>
      </c>
      <c r="B183" s="67" t="s">
        <v>181</v>
      </c>
      <c r="C183" s="98"/>
      <c r="D183" s="84">
        <v>1.23</v>
      </c>
      <c r="E183" s="164"/>
      <c r="F183" s="88" t="s">
        <v>91</v>
      </c>
      <c r="G183" s="89">
        <f t="shared" si="39"/>
        <v>0</v>
      </c>
      <c r="H183" s="17"/>
      <c r="I183" s="17"/>
      <c r="J183" s="17" t="str">
        <f>IF(Table13[[#This Row],[Qty]]="","", IF(Table13[[#This Row],[Qty]]&gt;0,Table13[[#This Row],[Qty]]))</f>
        <v/>
      </c>
      <c r="K183" s="17">
        <v>36</v>
      </c>
      <c r="L183" s="36"/>
      <c r="M183" s="17"/>
      <c r="N183" s="17">
        <f>Table13[[#This Row],[Qty]]*Table13[[#This Row],[Weight / unit]]</f>
        <v>0</v>
      </c>
    </row>
    <row r="184" spans="1:14" s="9" customFormat="1" ht="20" customHeight="1" x14ac:dyDescent="0.35">
      <c r="A184" s="63" t="s">
        <v>236</v>
      </c>
      <c r="B184" s="67" t="s">
        <v>181</v>
      </c>
      <c r="C184" s="98"/>
      <c r="D184" s="84">
        <v>1.31</v>
      </c>
      <c r="E184" s="164"/>
      <c r="F184" s="88" t="s">
        <v>91</v>
      </c>
      <c r="G184" s="89">
        <f t="shared" si="39"/>
        <v>0</v>
      </c>
      <c r="H184" s="17"/>
      <c r="I184" s="17"/>
      <c r="J184" s="17" t="str">
        <f>IF(Table13[[#This Row],[Qty]]="","", IF(Table13[[#This Row],[Qty]]&gt;0,Table13[[#This Row],[Qty]]))</f>
        <v/>
      </c>
      <c r="K184" s="17">
        <v>38</v>
      </c>
      <c r="L184" s="36"/>
      <c r="M184" s="17"/>
      <c r="N184" s="17">
        <f>Table13[[#This Row],[Qty]]*Table13[[#This Row],[Weight / unit]]</f>
        <v>0</v>
      </c>
    </row>
    <row r="185" spans="1:14" s="9" customFormat="1" ht="20" customHeight="1" x14ac:dyDescent="0.35">
      <c r="A185" s="63" t="s">
        <v>237</v>
      </c>
      <c r="B185" s="67" t="s">
        <v>181</v>
      </c>
      <c r="C185" s="98"/>
      <c r="D185" s="84">
        <v>1.53</v>
      </c>
      <c r="E185" s="164"/>
      <c r="F185" s="88" t="s">
        <v>91</v>
      </c>
      <c r="G185" s="89">
        <f t="shared" si="39"/>
        <v>0</v>
      </c>
      <c r="H185" s="17"/>
      <c r="I185" s="17"/>
      <c r="J185" s="17" t="str">
        <f>IF(Table13[[#This Row],[Qty]]="","", IF(Table13[[#This Row],[Qty]]&gt;0,Table13[[#This Row],[Qty]]))</f>
        <v/>
      </c>
      <c r="K185" s="17">
        <v>42</v>
      </c>
      <c r="L185" s="36"/>
      <c r="M185" s="17"/>
      <c r="N185" s="17">
        <f>Table13[[#This Row],[Qty]]*Table13[[#This Row],[Weight / unit]]</f>
        <v>0</v>
      </c>
    </row>
    <row r="186" spans="1:14" s="9" customFormat="1" ht="20" customHeight="1" x14ac:dyDescent="0.35">
      <c r="A186" s="63" t="s">
        <v>238</v>
      </c>
      <c r="B186" s="67" t="s">
        <v>181</v>
      </c>
      <c r="C186" s="98"/>
      <c r="D186" s="84">
        <v>1.56</v>
      </c>
      <c r="E186" s="164"/>
      <c r="F186" s="88" t="s">
        <v>91</v>
      </c>
      <c r="G186" s="89">
        <f t="shared" si="39"/>
        <v>0</v>
      </c>
      <c r="H186" s="17"/>
      <c r="I186" s="17"/>
      <c r="J186" s="17" t="str">
        <f>IF(Table13[[#This Row],[Qty]]="","", IF(Table13[[#This Row],[Qty]]&gt;0,Table13[[#This Row],[Qty]]))</f>
        <v/>
      </c>
      <c r="K186" s="17">
        <v>44</v>
      </c>
      <c r="L186" s="36"/>
      <c r="M186" s="17"/>
      <c r="N186" s="17">
        <f>Table13[[#This Row],[Qty]]*Table13[[#This Row],[Weight / unit]]</f>
        <v>0</v>
      </c>
    </row>
    <row r="187" spans="1:14" s="9" customFormat="1" ht="20" customHeight="1" x14ac:dyDescent="0.35">
      <c r="A187" s="63" t="s">
        <v>239</v>
      </c>
      <c r="B187" s="67" t="s">
        <v>181</v>
      </c>
      <c r="C187" s="98"/>
      <c r="D187" s="84">
        <v>1.57</v>
      </c>
      <c r="E187" s="164"/>
      <c r="F187" s="88" t="s">
        <v>91</v>
      </c>
      <c r="G187" s="89">
        <f t="shared" si="39"/>
        <v>0</v>
      </c>
      <c r="H187" s="17"/>
      <c r="I187" s="17"/>
      <c r="J187" s="17" t="str">
        <f>IF(Table13[[#This Row],[Qty]]="","", IF(Table13[[#This Row],[Qty]]&gt;0,Table13[[#This Row],[Qty]]))</f>
        <v/>
      </c>
      <c r="K187" s="17">
        <v>47</v>
      </c>
      <c r="L187" s="36"/>
      <c r="M187" s="17"/>
      <c r="N187" s="17">
        <f>Table13[[#This Row],[Qty]]*Table13[[#This Row],[Weight / unit]]</f>
        <v>0</v>
      </c>
    </row>
    <row r="188" spans="1:14" s="9" customFormat="1" ht="20" customHeight="1" x14ac:dyDescent="0.35">
      <c r="A188" s="63" t="s">
        <v>240</v>
      </c>
      <c r="B188" s="67" t="s">
        <v>181</v>
      </c>
      <c r="C188" s="98"/>
      <c r="D188" s="84">
        <v>1.88</v>
      </c>
      <c r="E188" s="164"/>
      <c r="F188" s="88" t="s">
        <v>91</v>
      </c>
      <c r="G188" s="89">
        <f t="shared" si="39"/>
        <v>0</v>
      </c>
      <c r="H188" s="17"/>
      <c r="I188" s="17"/>
      <c r="J188" s="17" t="str">
        <f>IF(Table13[[#This Row],[Qty]]="","", IF(Table13[[#This Row],[Qty]]&gt;0,Table13[[#This Row],[Qty]]))</f>
        <v/>
      </c>
      <c r="K188" s="17">
        <v>50</v>
      </c>
      <c r="L188" s="36"/>
      <c r="M188" s="17"/>
      <c r="N188" s="17">
        <f>Table13[[#This Row],[Qty]]*Table13[[#This Row],[Weight / unit]]</f>
        <v>0</v>
      </c>
    </row>
    <row r="189" spans="1:14" s="9" customFormat="1" ht="20" customHeight="1" x14ac:dyDescent="0.35">
      <c r="A189" s="63" t="s">
        <v>241</v>
      </c>
      <c r="B189" s="67" t="s">
        <v>181</v>
      </c>
      <c r="C189" s="98"/>
      <c r="D189" s="84">
        <v>2.1</v>
      </c>
      <c r="E189" s="164"/>
      <c r="F189" s="88" t="s">
        <v>91</v>
      </c>
      <c r="G189" s="89">
        <f t="shared" si="39"/>
        <v>0</v>
      </c>
      <c r="H189" s="17"/>
      <c r="I189" s="17"/>
      <c r="J189" s="17" t="str">
        <f>IF(Table13[[#This Row],[Qty]]="","", IF(Table13[[#This Row],[Qty]]&gt;0,Table13[[#This Row],[Qty]]))</f>
        <v/>
      </c>
      <c r="K189" s="17">
        <v>53</v>
      </c>
      <c r="L189" s="36"/>
      <c r="M189" s="17"/>
      <c r="N189" s="17">
        <f>Table13[[#This Row],[Qty]]*Table13[[#This Row],[Weight / unit]]</f>
        <v>0</v>
      </c>
    </row>
    <row r="190" spans="1:14" s="9" customFormat="1" ht="20" customHeight="1" x14ac:dyDescent="0.35">
      <c r="A190" s="63" t="s">
        <v>242</v>
      </c>
      <c r="B190" s="67" t="s">
        <v>181</v>
      </c>
      <c r="C190" s="98"/>
      <c r="D190" s="84">
        <v>2.27</v>
      </c>
      <c r="E190" s="164"/>
      <c r="F190" s="88" t="s">
        <v>91</v>
      </c>
      <c r="G190" s="89">
        <f t="shared" si="39"/>
        <v>0</v>
      </c>
      <c r="H190" s="17"/>
      <c r="I190" s="17"/>
      <c r="J190" s="17" t="str">
        <f>IF(Table13[[#This Row],[Qty]]="","", IF(Table13[[#This Row],[Qty]]&gt;0,Table13[[#This Row],[Qty]]))</f>
        <v/>
      </c>
      <c r="K190" s="17">
        <v>57</v>
      </c>
      <c r="L190" s="36"/>
      <c r="M190" s="17"/>
      <c r="N190" s="17">
        <f>Table13[[#This Row],[Qty]]*Table13[[#This Row],[Weight / unit]]</f>
        <v>0</v>
      </c>
    </row>
    <row r="191" spans="1:14" s="9" customFormat="1" ht="20" customHeight="1" x14ac:dyDescent="0.35">
      <c r="A191" s="63" t="s">
        <v>243</v>
      </c>
      <c r="B191" s="67" t="s">
        <v>181</v>
      </c>
      <c r="C191" s="98"/>
      <c r="D191" s="84">
        <v>2.56</v>
      </c>
      <c r="E191" s="164"/>
      <c r="F191" s="88" t="s">
        <v>91</v>
      </c>
      <c r="G191" s="89">
        <f t="shared" si="39"/>
        <v>0</v>
      </c>
      <c r="H191" s="17"/>
      <c r="I191" s="17"/>
      <c r="J191" s="17" t="str">
        <f>IF(Table13[[#This Row],[Qty]]="","", IF(Table13[[#This Row],[Qty]]&gt;0,Table13[[#This Row],[Qty]]))</f>
        <v/>
      </c>
      <c r="K191" s="17">
        <v>68</v>
      </c>
      <c r="L191" s="36"/>
      <c r="M191" s="17"/>
      <c r="N191" s="17">
        <f>Table13[[#This Row],[Qty]]*Table13[[#This Row],[Weight / unit]]</f>
        <v>0</v>
      </c>
    </row>
    <row r="192" spans="1:14" s="9" customFormat="1" ht="20" customHeight="1" x14ac:dyDescent="0.35">
      <c r="A192" s="63" t="s">
        <v>244</v>
      </c>
      <c r="B192" s="67" t="s">
        <v>181</v>
      </c>
      <c r="C192" s="98"/>
      <c r="D192" s="84">
        <v>2.84</v>
      </c>
      <c r="E192" s="164"/>
      <c r="F192" s="88" t="s">
        <v>91</v>
      </c>
      <c r="G192" s="89">
        <f t="shared" si="39"/>
        <v>0</v>
      </c>
      <c r="H192" s="17"/>
      <c r="I192" s="17"/>
      <c r="J192" s="17" t="str">
        <f>IF(Table13[[#This Row],[Qty]]="","", IF(Table13[[#This Row],[Qty]]&gt;0,Table13[[#This Row],[Qty]]))</f>
        <v/>
      </c>
      <c r="K192" s="17">
        <v>74</v>
      </c>
      <c r="L192" s="36"/>
      <c r="M192" s="17"/>
      <c r="N192" s="17">
        <f>Table13[[#This Row],[Qty]]*Table13[[#This Row],[Weight / unit]]</f>
        <v>0</v>
      </c>
    </row>
    <row r="193" spans="1:14" s="9" customFormat="1" ht="20" customHeight="1" x14ac:dyDescent="0.35">
      <c r="A193" s="63" t="s">
        <v>245</v>
      </c>
      <c r="B193" s="67" t="s">
        <v>181</v>
      </c>
      <c r="C193" s="98"/>
      <c r="D193" s="84">
        <v>3.06</v>
      </c>
      <c r="E193" s="164"/>
      <c r="F193" s="88" t="s">
        <v>91</v>
      </c>
      <c r="G193" s="89">
        <f t="shared" si="39"/>
        <v>0</v>
      </c>
      <c r="H193" s="17"/>
      <c r="I193" s="17"/>
      <c r="J193" s="17" t="str">
        <f>IF(Table13[[#This Row],[Qty]]="","", IF(Table13[[#This Row],[Qty]]&gt;0,Table13[[#This Row],[Qty]]))</f>
        <v/>
      </c>
      <c r="K193" s="17">
        <v>80</v>
      </c>
      <c r="L193" s="36"/>
      <c r="M193" s="17"/>
      <c r="N193" s="17">
        <f>Table13[[#This Row],[Qty]]*Table13[[#This Row],[Weight / unit]]</f>
        <v>0</v>
      </c>
    </row>
    <row r="194" spans="1:14" s="9" customFormat="1" ht="20" customHeight="1" x14ac:dyDescent="0.35">
      <c r="A194" s="174" t="s">
        <v>279</v>
      </c>
      <c r="B194" s="175"/>
      <c r="C194" s="176"/>
      <c r="D194" s="177"/>
      <c r="E194" s="175"/>
      <c r="F194" s="178"/>
      <c r="G194" s="179" t="str">
        <f>IF(SUM(G195:G205)=0,"",SUM(G195:G205))</f>
        <v/>
      </c>
      <c r="H194" s="99"/>
      <c r="I194" s="99"/>
      <c r="J194" s="99"/>
      <c r="K194" s="99"/>
      <c r="L194" s="100"/>
      <c r="M194" s="99"/>
      <c r="N194" s="99"/>
    </row>
    <row r="195" spans="1:14" s="9" customFormat="1" ht="20" customHeight="1" x14ac:dyDescent="0.35">
      <c r="A195" s="101" t="s">
        <v>195</v>
      </c>
      <c r="B195" s="102"/>
      <c r="C195" s="103"/>
      <c r="D195" s="84">
        <f>Table13[[#This Row],[Total]]</f>
        <v>0</v>
      </c>
      <c r="E195" s="162"/>
      <c r="F195" s="163" t="s">
        <v>93</v>
      </c>
      <c r="G195" s="86">
        <f>IF(Table13[[#This Row],[Qty]]="Yes",Table13[[#This Row],['#screws ordered]]*0.2,0)</f>
        <v>0</v>
      </c>
      <c r="H195" s="57"/>
      <c r="I195" s="17"/>
      <c r="J195" s="17"/>
      <c r="K195" s="17">
        <v>4</v>
      </c>
      <c r="L195" s="36"/>
      <c r="M195" s="17">
        <f>IF(Table13[[#This Row],[Qty]]="Yes", SUM(M18:M100),0)</f>
        <v>0</v>
      </c>
      <c r="N195" s="17">
        <f>IF(Table13[[#This Row],[Qty]]="Yes",Table13[[#This Row],['#screws ordered]]*Table13[[#This Row],[Weight / unit]],0)</f>
        <v>0</v>
      </c>
    </row>
    <row r="196" spans="1:14" s="9" customFormat="1" ht="20" customHeight="1" x14ac:dyDescent="0.35">
      <c r="A196" s="101" t="s">
        <v>255</v>
      </c>
      <c r="B196" s="102" t="s">
        <v>217</v>
      </c>
      <c r="C196" s="104"/>
      <c r="D196" s="84">
        <f>D201/500</f>
        <v>7.1499999999999994E-2</v>
      </c>
      <c r="E196" s="165"/>
      <c r="F196" s="105" t="s">
        <v>91</v>
      </c>
      <c r="G196" s="106">
        <f>E196*D196</f>
        <v>0</v>
      </c>
      <c r="H196" s="107"/>
      <c r="I196" s="108"/>
      <c r="J196" s="36" t="s">
        <v>216</v>
      </c>
      <c r="K196" s="17">
        <f>174/100</f>
        <v>1.74</v>
      </c>
      <c r="L196" s="36"/>
      <c r="M196" s="17"/>
      <c r="N196" s="17">
        <f>Table13[[#This Row],[Qty]]*Table13[[#This Row],[Weight / unit]]</f>
        <v>0</v>
      </c>
    </row>
    <row r="197" spans="1:14" s="9" customFormat="1" ht="20" customHeight="1" x14ac:dyDescent="0.35">
      <c r="A197" s="101" t="s">
        <v>256</v>
      </c>
      <c r="B197" s="102" t="s">
        <v>218</v>
      </c>
      <c r="C197" s="109"/>
      <c r="D197" s="84">
        <f>D202/500</f>
        <v>0.16200000000000001</v>
      </c>
      <c r="E197" s="165"/>
      <c r="F197" s="105" t="s">
        <v>91</v>
      </c>
      <c r="G197" s="106">
        <f t="shared" ref="G197:G200" si="40">E197*D197</f>
        <v>0</v>
      </c>
      <c r="H197" s="107"/>
      <c r="I197" s="108"/>
      <c r="J197" s="36" t="s">
        <v>216</v>
      </c>
      <c r="K197" s="17">
        <f>310/100</f>
        <v>3.1</v>
      </c>
      <c r="L197" s="36"/>
      <c r="M197" s="17"/>
      <c r="N197" s="17">
        <f>Table13[[#This Row],[Qty]]*Table13[[#This Row],[Weight / unit]]</f>
        <v>0</v>
      </c>
    </row>
    <row r="198" spans="1:14" s="9" customFormat="1" ht="20" customHeight="1" x14ac:dyDescent="0.35">
      <c r="A198" s="101" t="s">
        <v>257</v>
      </c>
      <c r="B198" s="102" t="s">
        <v>219</v>
      </c>
      <c r="C198" s="104"/>
      <c r="D198" s="84">
        <f>D203/250</f>
        <v>0.215</v>
      </c>
      <c r="E198" s="165"/>
      <c r="F198" s="105" t="s">
        <v>91</v>
      </c>
      <c r="G198" s="106">
        <f t="shared" si="40"/>
        <v>0</v>
      </c>
      <c r="H198" s="107"/>
      <c r="I198" s="108"/>
      <c r="J198" s="36" t="s">
        <v>216</v>
      </c>
      <c r="K198" s="17">
        <f>410/100</f>
        <v>4.0999999999999996</v>
      </c>
      <c r="L198" s="36"/>
      <c r="M198" s="17"/>
      <c r="N198" s="17">
        <f>Table13[[#This Row],[Qty]]*Table13[[#This Row],[Weight / unit]]</f>
        <v>0</v>
      </c>
    </row>
    <row r="199" spans="1:14" s="9" customFormat="1" ht="20" customHeight="1" x14ac:dyDescent="0.35">
      <c r="A199" s="101" t="s">
        <v>258</v>
      </c>
      <c r="B199" s="102" t="s">
        <v>220</v>
      </c>
      <c r="C199" s="109"/>
      <c r="D199" s="84">
        <f>D204/200</f>
        <v>0.377</v>
      </c>
      <c r="E199" s="165"/>
      <c r="F199" s="105" t="s">
        <v>91</v>
      </c>
      <c r="G199" s="106">
        <f t="shared" si="40"/>
        <v>0</v>
      </c>
      <c r="H199" s="107"/>
      <c r="I199" s="108"/>
      <c r="J199" s="36" t="s">
        <v>216</v>
      </c>
      <c r="K199" s="17">
        <f>1076/2/100</f>
        <v>5.38</v>
      </c>
      <c r="L199" s="36"/>
      <c r="M199" s="17"/>
      <c r="N199" s="17">
        <f>Table13[[#This Row],[Qty]]*Table13[[#This Row],[Weight / unit]]</f>
        <v>0</v>
      </c>
    </row>
    <row r="200" spans="1:14" s="9" customFormat="1" ht="20" customHeight="1" x14ac:dyDescent="0.35">
      <c r="A200" s="101" t="s">
        <v>259</v>
      </c>
      <c r="B200" s="102" t="s">
        <v>221</v>
      </c>
      <c r="C200" s="104"/>
      <c r="D200" s="84">
        <f>D205/100</f>
        <v>0.41799999999999998</v>
      </c>
      <c r="E200" s="165"/>
      <c r="F200" s="105" t="s">
        <v>91</v>
      </c>
      <c r="G200" s="106">
        <f t="shared" si="40"/>
        <v>0</v>
      </c>
      <c r="H200" s="107"/>
      <c r="I200" s="108"/>
      <c r="J200" s="36" t="s">
        <v>216</v>
      </c>
      <c r="K200" s="17">
        <f>665/100</f>
        <v>6.65</v>
      </c>
      <c r="L200" s="36" t="s">
        <v>205</v>
      </c>
      <c r="M200" s="17"/>
      <c r="N200" s="17">
        <f>Table13[[#This Row],[Qty]]*Table13[[#This Row],[Weight / unit]]</f>
        <v>0</v>
      </c>
    </row>
    <row r="201" spans="1:14" s="9" customFormat="1" ht="20" customHeight="1" x14ac:dyDescent="0.35">
      <c r="A201" s="101" t="s">
        <v>260</v>
      </c>
      <c r="B201" s="102" t="s">
        <v>217</v>
      </c>
      <c r="C201" s="109"/>
      <c r="D201" s="84">
        <v>35.75</v>
      </c>
      <c r="E201" s="165"/>
      <c r="F201" s="105" t="s">
        <v>211</v>
      </c>
      <c r="G201" s="106">
        <f t="shared" ref="G201:G205" si="41">E201*D201</f>
        <v>0</v>
      </c>
      <c r="H201" s="107" t="s">
        <v>215</v>
      </c>
      <c r="I201" s="108">
        <v>51</v>
      </c>
      <c r="J201" s="36" t="s">
        <v>273</v>
      </c>
      <c r="K201" s="17">
        <f>174*5+Table13[[#This Row],['#bolts per set]]</f>
        <v>921</v>
      </c>
      <c r="L201" s="36"/>
      <c r="M201" s="17"/>
      <c r="N201" s="17">
        <f>Table13[[#This Row],[Qty]]*Table13[[#This Row],[Weight / unit]]</f>
        <v>0</v>
      </c>
    </row>
    <row r="202" spans="1:14" s="9" customFormat="1" ht="20" customHeight="1" x14ac:dyDescent="0.35">
      <c r="A202" s="101" t="s">
        <v>261</v>
      </c>
      <c r="B202" s="102" t="s">
        <v>218</v>
      </c>
      <c r="C202" s="104"/>
      <c r="D202" s="84">
        <v>81</v>
      </c>
      <c r="E202" s="165"/>
      <c r="F202" s="105" t="s">
        <v>211</v>
      </c>
      <c r="G202" s="106">
        <f t="shared" si="41"/>
        <v>0</v>
      </c>
      <c r="H202" s="107" t="s">
        <v>215</v>
      </c>
      <c r="I202" s="108">
        <v>84</v>
      </c>
      <c r="J202" s="36" t="s">
        <v>273</v>
      </c>
      <c r="K202" s="17">
        <f>174*5+Table13[[#This Row],['#bolts per set]]</f>
        <v>954</v>
      </c>
      <c r="L202" s="36"/>
      <c r="M202" s="17"/>
      <c r="N202" s="17">
        <f>Table13[[#This Row],[Qty]]*Table13[[#This Row],[Weight / unit]]</f>
        <v>0</v>
      </c>
    </row>
    <row r="203" spans="1:14" s="9" customFormat="1" ht="20" customHeight="1" x14ac:dyDescent="0.35">
      <c r="A203" s="101" t="s">
        <v>262</v>
      </c>
      <c r="B203" s="102" t="s">
        <v>219</v>
      </c>
      <c r="C203" s="109"/>
      <c r="D203" s="84">
        <v>53.75</v>
      </c>
      <c r="E203" s="165"/>
      <c r="F203" s="105" t="s">
        <v>212</v>
      </c>
      <c r="G203" s="106">
        <f t="shared" si="41"/>
        <v>0</v>
      </c>
      <c r="H203" s="107" t="s">
        <v>215</v>
      </c>
      <c r="I203" s="108">
        <v>74</v>
      </c>
      <c r="J203" s="36" t="s">
        <v>273</v>
      </c>
      <c r="K203" s="17">
        <f>174*2.5+Table13[[#This Row],['#bolts per set]]</f>
        <v>509</v>
      </c>
      <c r="L203" s="36"/>
      <c r="M203" s="17"/>
      <c r="N203" s="17">
        <f>Table13[[#This Row],[Qty]]*Table13[[#This Row],[Weight / unit]]</f>
        <v>0</v>
      </c>
    </row>
    <row r="204" spans="1:14" s="9" customFormat="1" ht="20" customHeight="1" x14ac:dyDescent="0.35">
      <c r="A204" s="101" t="s">
        <v>263</v>
      </c>
      <c r="B204" s="102" t="s">
        <v>220</v>
      </c>
      <c r="C204" s="104"/>
      <c r="D204" s="84">
        <v>75.400000000000006</v>
      </c>
      <c r="E204" s="165"/>
      <c r="F204" s="105" t="s">
        <v>214</v>
      </c>
      <c r="G204" s="106">
        <f t="shared" si="41"/>
        <v>0</v>
      </c>
      <c r="H204" s="107" t="s">
        <v>215</v>
      </c>
      <c r="I204" s="108">
        <v>81</v>
      </c>
      <c r="J204" s="36" t="s">
        <v>273</v>
      </c>
      <c r="K204" s="17">
        <f>174*2+Table13[[#This Row],['#bolts per set]]</f>
        <v>429</v>
      </c>
      <c r="L204" s="36"/>
      <c r="M204" s="17"/>
      <c r="N204" s="17">
        <f>Table13[[#This Row],[Qty]]*Table13[[#This Row],[Weight / unit]]</f>
        <v>0</v>
      </c>
    </row>
    <row r="205" spans="1:14" s="9" customFormat="1" ht="20" customHeight="1" x14ac:dyDescent="0.35">
      <c r="A205" s="101" t="s">
        <v>264</v>
      </c>
      <c r="B205" s="102" t="s">
        <v>221</v>
      </c>
      <c r="C205" s="109"/>
      <c r="D205" s="84">
        <v>41.8</v>
      </c>
      <c r="E205" s="165"/>
      <c r="F205" s="105" t="s">
        <v>213</v>
      </c>
      <c r="G205" s="106">
        <f t="shared" si="41"/>
        <v>0</v>
      </c>
      <c r="H205" s="107" t="s">
        <v>215</v>
      </c>
      <c r="I205" s="108">
        <v>73</v>
      </c>
      <c r="J205" s="36" t="s">
        <v>273</v>
      </c>
      <c r="K205" s="17">
        <f>174*1+Table13[[#This Row],['#bolts per set]]</f>
        <v>247</v>
      </c>
      <c r="L205" s="36" t="s">
        <v>205</v>
      </c>
      <c r="M205" s="17"/>
      <c r="N205" s="17">
        <f>Table13[[#This Row],[Qty]]*Table13[[#This Row],[Weight / unit]]</f>
        <v>0</v>
      </c>
    </row>
    <row r="206" spans="1:14" s="9" customFormat="1" ht="20" customHeight="1" x14ac:dyDescent="0.35">
      <c r="A206" s="174" t="s">
        <v>280</v>
      </c>
      <c r="B206" s="175"/>
      <c r="C206" s="176"/>
      <c r="D206" s="177"/>
      <c r="E206" s="175"/>
      <c r="F206" s="178"/>
      <c r="G206" s="179" t="str">
        <f>IF(SUM(G207:G215)=0,"",SUM(G207:G215))</f>
        <v/>
      </c>
      <c r="H206" s="99"/>
      <c r="I206" s="99"/>
      <c r="J206" s="99"/>
      <c r="K206" s="99"/>
      <c r="L206" s="100"/>
      <c r="M206" s="99"/>
      <c r="N206" s="99"/>
    </row>
    <row r="207" spans="1:14" s="9" customFormat="1" ht="20" customHeight="1" x14ac:dyDescent="0.35">
      <c r="A207" s="101" t="s">
        <v>272</v>
      </c>
      <c r="B207" s="102"/>
      <c r="C207" s="103"/>
      <c r="D207" s="84">
        <f>Table13[[#This Row],[Total]]</f>
        <v>0</v>
      </c>
      <c r="E207" s="162"/>
      <c r="F207" s="163" t="s">
        <v>93</v>
      </c>
      <c r="G207" s="86">
        <f>IF(Table13[[#This Row],[Qty]]="Yes",Table13[[#This Row],['#screws ordered]]*1.3,0)</f>
        <v>0</v>
      </c>
      <c r="H207" s="57"/>
      <c r="I207" s="17"/>
      <c r="J207" s="17"/>
      <c r="K207" s="17">
        <v>4</v>
      </c>
      <c r="L207" s="36"/>
      <c r="M207" s="17">
        <f>IF(Table13[[#This Row],[Qty]]="Yes", SUM(M18:M100),0)</f>
        <v>0</v>
      </c>
      <c r="N207" s="17">
        <f>IF(Table13[[#This Row],[Qty]]="Yes",Table13[[#This Row],['#screws ordered]]*Table13[[#This Row],[Weight / unit]],0)</f>
        <v>0</v>
      </c>
    </row>
    <row r="208" spans="1:14" s="9" customFormat="1" ht="20" customHeight="1" x14ac:dyDescent="0.35">
      <c r="A208" s="101" t="s">
        <v>254</v>
      </c>
      <c r="B208" s="102" t="s">
        <v>217</v>
      </c>
      <c r="C208" s="110" t="s">
        <v>181</v>
      </c>
      <c r="D208" s="84">
        <v>0.9395</v>
      </c>
      <c r="E208" s="165"/>
      <c r="F208" s="105" t="s">
        <v>91</v>
      </c>
      <c r="G208" s="106">
        <f t="shared" ref="G208:G215" si="42">E208*D208</f>
        <v>0</v>
      </c>
      <c r="H208" s="111"/>
      <c r="I208" s="17"/>
      <c r="J208" s="36" t="s">
        <v>216</v>
      </c>
      <c r="K208" s="17">
        <v>1.74</v>
      </c>
      <c r="L208" s="108" t="s">
        <v>274</v>
      </c>
      <c r="M208" s="17"/>
      <c r="N208" s="17">
        <f>Table13[[#This Row],[Qty]]*Table13[[#This Row],[Weight / unit]]</f>
        <v>0</v>
      </c>
    </row>
    <row r="209" spans="1:14" s="9" customFormat="1" ht="20" customHeight="1" x14ac:dyDescent="0.35">
      <c r="A209" s="101" t="s">
        <v>265</v>
      </c>
      <c r="B209" s="102" t="s">
        <v>218</v>
      </c>
      <c r="C209" s="110" t="s">
        <v>181</v>
      </c>
      <c r="D209" s="84">
        <v>1.2003999999999999</v>
      </c>
      <c r="E209" s="165"/>
      <c r="F209" s="105" t="s">
        <v>91</v>
      </c>
      <c r="G209" s="106">
        <f t="shared" si="42"/>
        <v>0</v>
      </c>
      <c r="H209" s="111"/>
      <c r="I209" s="17"/>
      <c r="J209" s="36" t="s">
        <v>216</v>
      </c>
      <c r="K209" s="17">
        <v>3.1</v>
      </c>
      <c r="L209" s="108" t="s">
        <v>274</v>
      </c>
      <c r="M209" s="17"/>
      <c r="N209" s="17">
        <f>Table13[[#This Row],[Qty]]*Table13[[#This Row],[Weight / unit]]</f>
        <v>0</v>
      </c>
    </row>
    <row r="210" spans="1:14" s="9" customFormat="1" ht="20" customHeight="1" x14ac:dyDescent="0.35">
      <c r="A210" s="101" t="s">
        <v>266</v>
      </c>
      <c r="B210" s="102" t="s">
        <v>219</v>
      </c>
      <c r="C210" s="110" t="s">
        <v>181</v>
      </c>
      <c r="D210" s="84">
        <v>1.4151</v>
      </c>
      <c r="E210" s="165"/>
      <c r="F210" s="105" t="s">
        <v>91</v>
      </c>
      <c r="G210" s="106">
        <f t="shared" si="42"/>
        <v>0</v>
      </c>
      <c r="H210" s="111"/>
      <c r="I210" s="17"/>
      <c r="J210" s="36" t="s">
        <v>216</v>
      </c>
      <c r="K210" s="17">
        <v>4.0999999999999996</v>
      </c>
      <c r="L210" s="108" t="s">
        <v>274</v>
      </c>
      <c r="M210" s="17"/>
      <c r="N210" s="17">
        <f>Table13[[#This Row],[Qty]]*Table13[[#This Row],[Weight / unit]]</f>
        <v>0</v>
      </c>
    </row>
    <row r="211" spans="1:14" s="9" customFormat="1" ht="20" customHeight="1" x14ac:dyDescent="0.35">
      <c r="A211" s="101" t="s">
        <v>267</v>
      </c>
      <c r="B211" s="102" t="s">
        <v>220</v>
      </c>
      <c r="C211" s="110" t="s">
        <v>181</v>
      </c>
      <c r="D211" s="84">
        <v>2.68</v>
      </c>
      <c r="E211" s="165"/>
      <c r="F211" s="105" t="s">
        <v>91</v>
      </c>
      <c r="G211" s="106">
        <f t="shared" si="42"/>
        <v>0</v>
      </c>
      <c r="H211" s="111"/>
      <c r="I211" s="17"/>
      <c r="J211" s="36" t="s">
        <v>216</v>
      </c>
      <c r="K211" s="17">
        <v>5.38</v>
      </c>
      <c r="L211" s="108" t="s">
        <v>274</v>
      </c>
      <c r="M211" s="17"/>
      <c r="N211" s="17">
        <f>Table13[[#This Row],[Qty]]*Table13[[#This Row],[Weight / unit]]</f>
        <v>0</v>
      </c>
    </row>
    <row r="212" spans="1:14" s="9" customFormat="1" ht="20" customHeight="1" x14ac:dyDescent="0.35">
      <c r="A212" s="101" t="s">
        <v>268</v>
      </c>
      <c r="B212" s="102" t="s">
        <v>217</v>
      </c>
      <c r="C212" s="110" t="s">
        <v>181</v>
      </c>
      <c r="D212" s="84">
        <f>D208*100*2</f>
        <v>187.9</v>
      </c>
      <c r="E212" s="165"/>
      <c r="F212" s="105" t="s">
        <v>214</v>
      </c>
      <c r="G212" s="106">
        <f t="shared" si="42"/>
        <v>0</v>
      </c>
      <c r="H212" s="107" t="s">
        <v>215</v>
      </c>
      <c r="I212" s="108">
        <v>30</v>
      </c>
      <c r="J212" s="36" t="s">
        <v>273</v>
      </c>
      <c r="K212" s="17">
        <f>K208*100*2+Table13[[#This Row],['#bolts per set]]</f>
        <v>378</v>
      </c>
      <c r="L212" s="108" t="s">
        <v>274</v>
      </c>
      <c r="M212" s="17"/>
      <c r="N212" s="17">
        <f>Table13[[#This Row],[Qty]]*Table13[[#This Row],[Weight / unit]]</f>
        <v>0</v>
      </c>
    </row>
    <row r="213" spans="1:14" s="9" customFormat="1" ht="20" customHeight="1" x14ac:dyDescent="0.35">
      <c r="A213" s="101" t="s">
        <v>269</v>
      </c>
      <c r="B213" s="102" t="s">
        <v>218</v>
      </c>
      <c r="C213" s="110" t="s">
        <v>181</v>
      </c>
      <c r="D213" s="84">
        <f>D209*100*1</f>
        <v>120.03999999999999</v>
      </c>
      <c r="E213" s="165"/>
      <c r="F213" s="105" t="s">
        <v>213</v>
      </c>
      <c r="G213" s="106">
        <f t="shared" si="42"/>
        <v>0</v>
      </c>
      <c r="H213" s="107" t="s">
        <v>215</v>
      </c>
      <c r="I213" s="108">
        <v>40</v>
      </c>
      <c r="J213" s="36" t="s">
        <v>273</v>
      </c>
      <c r="K213" s="17">
        <f>K209*100*1+Table13[[#This Row],['#bolts per set]]</f>
        <v>350</v>
      </c>
      <c r="L213" s="108" t="s">
        <v>274</v>
      </c>
      <c r="M213" s="17"/>
      <c r="N213" s="17">
        <f>Table13[[#This Row],[Qty]]*Table13[[#This Row],[Weight / unit]]</f>
        <v>0</v>
      </c>
    </row>
    <row r="214" spans="1:14" s="9" customFormat="1" ht="20" customHeight="1" x14ac:dyDescent="0.35">
      <c r="A214" s="101" t="s">
        <v>270</v>
      </c>
      <c r="B214" s="102" t="s">
        <v>219</v>
      </c>
      <c r="C214" s="110" t="s">
        <v>181</v>
      </c>
      <c r="D214" s="84">
        <f>D210*100*2.5</f>
        <v>353.77499999999998</v>
      </c>
      <c r="E214" s="165"/>
      <c r="F214" s="105" t="s">
        <v>212</v>
      </c>
      <c r="G214" s="106">
        <f t="shared" si="42"/>
        <v>0</v>
      </c>
      <c r="H214" s="107" t="s">
        <v>215</v>
      </c>
      <c r="I214" s="108">
        <v>75</v>
      </c>
      <c r="J214" s="36" t="s">
        <v>273</v>
      </c>
      <c r="K214" s="17">
        <f>K210*100*2.5+Table13[[#This Row],['#bolts per set]]</f>
        <v>1099.9999999999998</v>
      </c>
      <c r="L214" s="108" t="s">
        <v>274</v>
      </c>
      <c r="M214" s="17"/>
      <c r="N214" s="17">
        <f>Table13[[#This Row],[Qty]]*Table13[[#This Row],[Weight / unit]]</f>
        <v>0</v>
      </c>
    </row>
    <row r="215" spans="1:14" s="9" customFormat="1" ht="20" customHeight="1" x14ac:dyDescent="0.35">
      <c r="A215" s="101" t="s">
        <v>271</v>
      </c>
      <c r="B215" s="102" t="s">
        <v>220</v>
      </c>
      <c r="C215" s="110" t="s">
        <v>181</v>
      </c>
      <c r="D215" s="84">
        <f>D211*100*1</f>
        <v>268</v>
      </c>
      <c r="E215" s="165"/>
      <c r="F215" s="105" t="s">
        <v>213</v>
      </c>
      <c r="G215" s="106">
        <f t="shared" si="42"/>
        <v>0</v>
      </c>
      <c r="H215" s="107" t="s">
        <v>215</v>
      </c>
      <c r="I215" s="108">
        <v>73</v>
      </c>
      <c r="J215" s="36" t="s">
        <v>273</v>
      </c>
      <c r="K215" s="17">
        <f>K211*100*1+Table13[[#This Row],['#bolts per set]]</f>
        <v>611</v>
      </c>
      <c r="L215" s="108" t="s">
        <v>274</v>
      </c>
      <c r="M215" s="17"/>
      <c r="N215" s="17">
        <f>Table13[[#This Row],[Qty]]*Table13[[#This Row],[Weight / unit]]</f>
        <v>0</v>
      </c>
    </row>
    <row r="216" spans="1:14" s="9" customFormat="1" ht="20" customHeight="1" x14ac:dyDescent="0.35">
      <c r="A216" s="174" t="s">
        <v>324</v>
      </c>
      <c r="B216" s="175"/>
      <c r="C216" s="176"/>
      <c r="D216" s="177"/>
      <c r="E216" s="175"/>
      <c r="F216" s="178"/>
      <c r="G216" s="179" t="str">
        <f>IF(SUM(G217)=0,"",SUM(G217))</f>
        <v/>
      </c>
      <c r="H216" s="99"/>
      <c r="I216" s="99"/>
      <c r="J216" s="99"/>
      <c r="K216" s="99"/>
      <c r="L216" s="100"/>
      <c r="M216" s="99"/>
      <c r="N216" s="99"/>
    </row>
    <row r="217" spans="1:14" s="9" customFormat="1" ht="20" customHeight="1" x14ac:dyDescent="0.35">
      <c r="A217" s="101" t="s">
        <v>202</v>
      </c>
      <c r="B217" s="102"/>
      <c r="C217" s="103"/>
      <c r="D217" s="84">
        <v>6.25</v>
      </c>
      <c r="E217" s="165"/>
      <c r="F217" s="105" t="s">
        <v>91</v>
      </c>
      <c r="G217" s="106">
        <f t="shared" ref="G217" si="43">E217*D217</f>
        <v>0</v>
      </c>
      <c r="H217" s="107">
        <f>Table13[[#This Row],['# holds 
per set]]*Table13[[#This Row],[Qty]]</f>
        <v>0</v>
      </c>
      <c r="I217" s="17"/>
      <c r="J217" s="17">
        <f>Table13[[#This Row],[Qty]]*Table13[[#This Row],['#bolts per set]]</f>
        <v>0</v>
      </c>
      <c r="K217" s="17">
        <v>8</v>
      </c>
      <c r="L217" s="108"/>
      <c r="M217" s="17"/>
      <c r="N217" s="17">
        <f>Table13[[#This Row],[Qty]]*Table13[[#This Row],[Weight / unit]]</f>
        <v>0</v>
      </c>
    </row>
    <row r="218" spans="1:14" s="9" customFormat="1" ht="20" customHeight="1" x14ac:dyDescent="0.35">
      <c r="A218" s="44" t="s">
        <v>325</v>
      </c>
      <c r="B218" s="45"/>
      <c r="C218" s="46"/>
      <c r="D218" s="47"/>
      <c r="E218" s="45"/>
      <c r="F218" s="48"/>
      <c r="G218" s="49" t="str">
        <f>IF(SUM(G219:G224)=0,"",SUM(G219:G224))</f>
        <v/>
      </c>
      <c r="H218" s="48"/>
      <c r="I218" s="48"/>
      <c r="J218" s="48"/>
      <c r="K218" s="48"/>
      <c r="L218" s="48"/>
      <c r="M218" s="48"/>
      <c r="N218" s="48"/>
    </row>
    <row r="219" spans="1:14" s="112" customFormat="1" ht="20" customHeight="1" x14ac:dyDescent="0.35">
      <c r="A219" s="112" t="s">
        <v>332</v>
      </c>
      <c r="B219" s="113" t="s">
        <v>328</v>
      </c>
      <c r="C219" s="114"/>
      <c r="D219" s="115">
        <v>9</v>
      </c>
      <c r="E219" s="161"/>
      <c r="F219" s="116" t="s">
        <v>91</v>
      </c>
      <c r="G219" s="117">
        <f>E219*D219</f>
        <v>0</v>
      </c>
      <c r="H219" s="118"/>
      <c r="I219" s="108"/>
      <c r="J219" s="108"/>
      <c r="K219" s="17">
        <v>15</v>
      </c>
      <c r="L219" s="108"/>
      <c r="M219" s="108"/>
      <c r="N219" s="17">
        <f>Table13[[#This Row],[Qty]]*Table13[[#This Row],[Weight / unit]]</f>
        <v>0</v>
      </c>
    </row>
    <row r="220" spans="1:14" s="112" customFormat="1" ht="20" customHeight="1" x14ac:dyDescent="0.35">
      <c r="A220" s="112" t="s">
        <v>333</v>
      </c>
      <c r="B220" s="113" t="s">
        <v>329</v>
      </c>
      <c r="C220" s="114"/>
      <c r="D220" s="115">
        <v>15</v>
      </c>
      <c r="E220" s="161"/>
      <c r="F220" s="116" t="s">
        <v>91</v>
      </c>
      <c r="G220" s="117">
        <f t="shared" ref="G220:G224" si="44">E220*D220</f>
        <v>0</v>
      </c>
      <c r="H220" s="118"/>
      <c r="I220" s="108"/>
      <c r="J220" s="108"/>
      <c r="K220" s="17">
        <v>28</v>
      </c>
      <c r="L220" s="108"/>
      <c r="M220" s="108"/>
      <c r="N220" s="17">
        <f>Table13[[#This Row],[Qty]]*Table13[[#This Row],[Weight / unit]]</f>
        <v>0</v>
      </c>
    </row>
    <row r="221" spans="1:14" s="112" customFormat="1" ht="20" customHeight="1" x14ac:dyDescent="0.35">
      <c r="A221" s="112" t="s">
        <v>334</v>
      </c>
      <c r="B221" s="113"/>
      <c r="C221" s="119"/>
      <c r="D221" s="115">
        <v>7</v>
      </c>
      <c r="E221" s="161"/>
      <c r="F221" s="116" t="s">
        <v>91</v>
      </c>
      <c r="G221" s="117">
        <f t="shared" si="44"/>
        <v>0</v>
      </c>
      <c r="H221" s="118"/>
      <c r="I221" s="108"/>
      <c r="J221" s="108"/>
      <c r="K221" s="17">
        <v>10</v>
      </c>
      <c r="L221" s="108"/>
      <c r="M221" s="108"/>
      <c r="N221" s="17">
        <f>Table13[[#This Row],[Qty]]*Table13[[#This Row],[Weight / unit]]</f>
        <v>0</v>
      </c>
    </row>
    <row r="222" spans="1:14" s="112" customFormat="1" ht="20" customHeight="1" x14ac:dyDescent="0.35">
      <c r="A222" s="51" t="s">
        <v>140</v>
      </c>
      <c r="B222" s="51"/>
      <c r="C222" s="120"/>
      <c r="D222" s="115">
        <v>25</v>
      </c>
      <c r="E222" s="158"/>
      <c r="F222" s="116" t="s">
        <v>91</v>
      </c>
      <c r="G222" s="117">
        <f t="shared" si="44"/>
        <v>0</v>
      </c>
      <c r="H222" s="118"/>
      <c r="I222" s="108"/>
      <c r="J222" s="108"/>
      <c r="K222" s="17">
        <v>35.200000000000003</v>
      </c>
      <c r="L222" s="108"/>
      <c r="M222" s="108"/>
      <c r="N222" s="17">
        <f>Table13[[#This Row],[Qty]]*Table13[[#This Row],[Weight / unit]]</f>
        <v>0</v>
      </c>
    </row>
    <row r="223" spans="1:14" s="112" customFormat="1" ht="20" customHeight="1" x14ac:dyDescent="0.35">
      <c r="A223" s="112" t="s">
        <v>326</v>
      </c>
      <c r="B223" s="113"/>
      <c r="C223" s="119"/>
      <c r="D223" s="115">
        <v>1.35</v>
      </c>
      <c r="E223" s="161"/>
      <c r="F223" s="116" t="s">
        <v>91</v>
      </c>
      <c r="G223" s="117">
        <f t="shared" si="44"/>
        <v>0</v>
      </c>
      <c r="H223" s="118"/>
      <c r="I223" s="108"/>
      <c r="J223" s="108"/>
      <c r="K223" s="17">
        <v>10.5</v>
      </c>
      <c r="L223" s="108"/>
      <c r="M223" s="108"/>
      <c r="N223" s="17">
        <f>Table13[[#This Row],[Qty]]*Table13[[#This Row],[Weight / unit]]</f>
        <v>0</v>
      </c>
    </row>
    <row r="224" spans="1:14" s="112" customFormat="1" ht="20" customHeight="1" x14ac:dyDescent="0.35">
      <c r="A224" s="101" t="s">
        <v>327</v>
      </c>
      <c r="B224" s="101"/>
      <c r="C224" s="121"/>
      <c r="D224" s="115">
        <v>1</v>
      </c>
      <c r="E224" s="165"/>
      <c r="F224" s="116" t="s">
        <v>91</v>
      </c>
      <c r="G224" s="117">
        <f t="shared" si="44"/>
        <v>0</v>
      </c>
      <c r="H224" s="118"/>
      <c r="I224" s="108"/>
      <c r="J224" s="108"/>
      <c r="K224" s="17">
        <v>3.1</v>
      </c>
      <c r="L224" s="108"/>
      <c r="M224" s="108"/>
      <c r="N224" s="17">
        <f>Table13[[#This Row],[Qty]]*Table13[[#This Row],[Weight / unit]]</f>
        <v>0</v>
      </c>
    </row>
    <row r="225" spans="1:14" s="9" customFormat="1" ht="49.5" customHeight="1" x14ac:dyDescent="0.35">
      <c r="A225" s="38" t="s">
        <v>166</v>
      </c>
      <c r="B225" s="38"/>
      <c r="C225" s="122"/>
      <c r="D225" s="40" t="s">
        <v>56</v>
      </c>
      <c r="E225" s="38"/>
      <c r="F225" s="41"/>
      <c r="G225" s="42"/>
      <c r="H225" s="123"/>
      <c r="I225" s="123"/>
      <c r="J225" s="123"/>
      <c r="K225" s="42"/>
      <c r="L225" s="43"/>
      <c r="M225" s="42"/>
      <c r="N225" s="42"/>
    </row>
    <row r="226" spans="1:14" s="9" customFormat="1" ht="23" customHeight="1" x14ac:dyDescent="0.35">
      <c r="A226" s="124" t="s">
        <v>223</v>
      </c>
      <c r="B226" s="63" t="s">
        <v>222</v>
      </c>
      <c r="C226" s="125"/>
      <c r="D226" s="84">
        <v>33</v>
      </c>
      <c r="E226" s="162"/>
      <c r="F226" s="126" t="s">
        <v>224</v>
      </c>
      <c r="G226" s="86">
        <f>E226*D226</f>
        <v>0</v>
      </c>
      <c r="H226" s="57"/>
      <c r="I226" s="17"/>
      <c r="J226" s="17"/>
      <c r="K226" s="17">
        <v>150</v>
      </c>
      <c r="L226" s="36"/>
      <c r="M226" s="17">
        <f>Table13[[#This Row],[Qty]]*Table13[[#This Row],['#screws per set]]</f>
        <v>0</v>
      </c>
      <c r="N226" s="17">
        <f>Table13[[#This Row],[Qty]]*Table13[[#This Row],[Weight / unit]]</f>
        <v>0</v>
      </c>
    </row>
    <row r="227" spans="1:14" s="9" customFormat="1" ht="23" customHeight="1" x14ac:dyDescent="0.35">
      <c r="A227" s="127"/>
      <c r="B227" s="127"/>
      <c r="C227" s="127"/>
      <c r="D227" s="128"/>
      <c r="E227" s="129" t="s">
        <v>47</v>
      </c>
      <c r="F227" s="129" t="s">
        <v>155</v>
      </c>
      <c r="G227" s="130">
        <f>SUM(G226,G219:G224,G217,G207:G215,G195:G205,G181:G193,G163:G179,G156:G161,G145:G154,G139:G143,G122:G137,G119:G120,G114:G117,G103:G112,G18:G100)</f>
        <v>0</v>
      </c>
      <c r="H227" s="131">
        <f>SUM(H18:H100)</f>
        <v>0</v>
      </c>
      <c r="I227" s="132" t="s">
        <v>246</v>
      </c>
      <c r="J227" s="131">
        <f>SUM(J122:J193)</f>
        <v>0</v>
      </c>
      <c r="K227" s="133"/>
      <c r="L227" s="134" t="s">
        <v>247</v>
      </c>
      <c r="M227" s="133">
        <f>SUM(M195:M215)</f>
        <v>0</v>
      </c>
      <c r="N227" s="131">
        <f>SUM(N18:N226)</f>
        <v>0</v>
      </c>
    </row>
    <row r="228" spans="1:14" s="9" customFormat="1" ht="23" customHeight="1" x14ac:dyDescent="0.35">
      <c r="A228" s="135"/>
      <c r="B228" s="136"/>
      <c r="C228" s="136"/>
      <c r="D228" s="137"/>
      <c r="E228" s="136"/>
      <c r="F228" s="138" t="s">
        <v>45</v>
      </c>
      <c r="G228" s="139" t="str">
        <f>IF(COUNT(E18:E100)=0,"",SUM(E18:E100))</f>
        <v/>
      </c>
      <c r="H228" s="140"/>
      <c r="I228" s="131"/>
      <c r="J228" s="131"/>
      <c r="K228" s="131"/>
      <c r="L228" s="131"/>
      <c r="M228" s="131"/>
      <c r="N228" s="140"/>
    </row>
    <row r="229" spans="1:14" s="9" customFormat="1" ht="23" customHeight="1" x14ac:dyDescent="0.35">
      <c r="A229" s="141"/>
      <c r="B229" s="142"/>
      <c r="C229" s="142"/>
      <c r="D229" s="143"/>
      <c r="E229" s="142"/>
      <c r="F229" s="144" t="s">
        <v>46</v>
      </c>
      <c r="G229" s="139" t="str">
        <f>IF(COUNT(E18:E100)=0,"",H227)</f>
        <v/>
      </c>
      <c r="H229" s="131"/>
      <c r="I229" s="131"/>
      <c r="J229" s="131"/>
      <c r="K229" s="131"/>
      <c r="L229" s="131"/>
      <c r="M229" s="131"/>
      <c r="N229" s="131"/>
    </row>
    <row r="230" spans="1:14" s="9" customFormat="1" ht="23" customHeight="1" x14ac:dyDescent="0.35">
      <c r="A230" s="141"/>
      <c r="B230" s="142"/>
      <c r="C230" s="142"/>
      <c r="D230" s="143"/>
      <c r="E230" s="142"/>
      <c r="F230" s="144" t="s">
        <v>43</v>
      </c>
      <c r="G230" s="145" t="str">
        <f>IF(G229="","", SUM(G18:G100)/G229)</f>
        <v/>
      </c>
      <c r="H230" s="131"/>
      <c r="I230" s="146" t="str">
        <f>IF(G227=0,"",I231*100/G227)</f>
        <v/>
      </c>
      <c r="J230" s="131"/>
      <c r="K230" s="146" t="str">
        <f>IF(G227=0,"",K231*100/G227)</f>
        <v/>
      </c>
      <c r="L230" s="146"/>
      <c r="M230" s="146"/>
      <c r="N230" s="131"/>
    </row>
    <row r="231" spans="1:14" s="9" customFormat="1" ht="23" customHeight="1" x14ac:dyDescent="0.35">
      <c r="A231" s="147"/>
      <c r="B231" s="148"/>
      <c r="C231" s="148"/>
      <c r="D231" s="149"/>
      <c r="E231" s="150"/>
      <c r="F231" s="144" t="s">
        <v>137</v>
      </c>
      <c r="G231" s="145" t="str">
        <f>IF(C13="FREE pick up (Perth/Highgate WA)","", IF(C13="Standard shipping (Australia wide)", I231, IF(C13="Express shipping (Australia wide)",K231,"")))</f>
        <v/>
      </c>
      <c r="H231" s="151" t="s">
        <v>153</v>
      </c>
      <c r="I231" s="152" t="str">
        <f>IF(N227&gt;0,
IF(N227&lt;1000,15,
IF(N227&lt;2000,18,
IF(N227&lt;3000,22,
IF(N227&lt;4500,25,
IF(N227&lt;10000, 38,
ROUNDUP(N227/10000*38,0)))))),"")</f>
        <v/>
      </c>
      <c r="J231" s="151" t="s">
        <v>154</v>
      </c>
      <c r="K231" s="152" t="str">
        <f>IF(N227&gt;0,
IF(N227&lt;1000,18,
IF(N227&lt;2000,25,
IF(N227&lt;4500,30,
ROUNDUP(N227/4500*58,0)))),"")</f>
        <v/>
      </c>
      <c r="L231" s="152"/>
      <c r="M231" s="152"/>
      <c r="N231" s="131"/>
    </row>
    <row r="232" spans="1:14" ht="23.25" customHeight="1" x14ac:dyDescent="0.35">
      <c r="A232" s="141"/>
      <c r="B232" s="142"/>
      <c r="C232" s="142"/>
      <c r="D232" s="143"/>
      <c r="E232" s="142"/>
      <c r="F232" s="144" t="s">
        <v>156</v>
      </c>
      <c r="G232" s="153">
        <f>IF(G231="", G227,G231+G227)</f>
        <v>0</v>
      </c>
      <c r="H232" s="131"/>
      <c r="I232" s="131"/>
      <c r="J232" s="131"/>
      <c r="K232" s="131"/>
      <c r="L232" s="131"/>
      <c r="M232" s="131"/>
      <c r="N232" s="131"/>
    </row>
    <row r="233" spans="1:14" ht="23.25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ht="23.25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1:14" ht="23.25" customHeight="1" x14ac:dyDescent="0.35">
      <c r="A235" s="3"/>
      <c r="B235" s="3"/>
      <c r="C235" s="3"/>
      <c r="E235" s="3"/>
      <c r="G235" s="3"/>
    </row>
    <row r="236" spans="1:14" ht="23.25" customHeight="1" x14ac:dyDescent="0.35">
      <c r="A236" s="3"/>
      <c r="B236" s="3"/>
      <c r="C236" s="3"/>
      <c r="E236" s="3"/>
      <c r="G236" s="3"/>
    </row>
    <row r="237" spans="1:14" ht="23.25" customHeight="1" x14ac:dyDescent="0.35">
      <c r="A237" s="3"/>
      <c r="B237" s="3"/>
      <c r="C237" s="3"/>
      <c r="E237" s="3"/>
      <c r="G237" s="3"/>
    </row>
    <row r="238" spans="1:14" ht="23.25" customHeight="1" x14ac:dyDescent="0.35">
      <c r="A238" s="3"/>
      <c r="B238" s="3"/>
      <c r="C238" s="3"/>
      <c r="E238" s="3"/>
      <c r="G238" s="3"/>
    </row>
    <row r="239" spans="1:14" ht="23.25" customHeight="1" x14ac:dyDescent="0.35">
      <c r="A239" s="3"/>
      <c r="B239" s="3"/>
      <c r="C239" s="3"/>
      <c r="E239" s="3"/>
      <c r="G239" s="3"/>
    </row>
    <row r="240" spans="1:14" ht="23.25" customHeight="1" x14ac:dyDescent="0.35">
      <c r="A240" s="3"/>
      <c r="B240" s="3"/>
      <c r="C240" s="3"/>
      <c r="E240" s="3"/>
      <c r="G240" s="3"/>
    </row>
    <row r="241" spans="1:7" ht="23.25" customHeight="1" x14ac:dyDescent="0.35">
      <c r="A241" s="3"/>
      <c r="B241" s="3"/>
      <c r="C241" s="3"/>
      <c r="E241" s="3"/>
      <c r="G241" s="3"/>
    </row>
    <row r="242" spans="1:7" ht="23.25" customHeight="1" x14ac:dyDescent="0.35">
      <c r="A242" s="3"/>
      <c r="B242" s="3"/>
      <c r="C242" s="3"/>
      <c r="E242" s="3"/>
      <c r="G242" s="3"/>
    </row>
    <row r="243" spans="1:7" ht="23.25" customHeight="1" x14ac:dyDescent="0.35">
      <c r="A243" s="3"/>
      <c r="B243" s="3"/>
      <c r="C243" s="3"/>
      <c r="E243" s="3"/>
      <c r="G243" s="3"/>
    </row>
    <row r="244" spans="1:7" ht="23.25" customHeight="1" x14ac:dyDescent="0.35">
      <c r="A244" s="3"/>
      <c r="B244" s="3"/>
      <c r="C244" s="3"/>
      <c r="E244" s="3"/>
      <c r="G244" s="3"/>
    </row>
    <row r="245" spans="1:7" ht="23.25" customHeight="1" x14ac:dyDescent="0.35">
      <c r="A245" s="3"/>
      <c r="B245" s="3"/>
      <c r="C245" s="3"/>
      <c r="E245" s="3"/>
      <c r="G245" s="3"/>
    </row>
    <row r="246" spans="1:7" ht="23.25" customHeight="1" x14ac:dyDescent="0.35">
      <c r="A246" s="3"/>
      <c r="B246" s="3"/>
      <c r="C246" s="3"/>
      <c r="E246" s="3"/>
      <c r="G246" s="3"/>
    </row>
    <row r="247" spans="1:7" ht="23.25" customHeight="1" x14ac:dyDescent="0.35">
      <c r="A247" s="3"/>
      <c r="B247" s="3"/>
      <c r="C247" s="3"/>
      <c r="E247" s="3"/>
      <c r="G247" s="3"/>
    </row>
    <row r="248" spans="1:7" ht="23.25" customHeight="1" x14ac:dyDescent="0.35">
      <c r="A248" s="3"/>
      <c r="B248" s="3"/>
      <c r="C248" s="3"/>
      <c r="E248" s="3"/>
      <c r="G248" s="3"/>
    </row>
    <row r="249" spans="1:7" ht="23.25" customHeight="1" x14ac:dyDescent="0.35">
      <c r="A249" s="3"/>
      <c r="B249" s="3"/>
      <c r="C249" s="3"/>
      <c r="E249" s="3"/>
      <c r="G249" s="3"/>
    </row>
    <row r="250" spans="1:7" ht="23.25" customHeight="1" x14ac:dyDescent="0.35">
      <c r="A250" s="3"/>
      <c r="B250" s="3"/>
      <c r="C250" s="3"/>
      <c r="E250" s="3"/>
      <c r="G250" s="3"/>
    </row>
    <row r="251" spans="1:7" ht="23.25" customHeight="1" x14ac:dyDescent="0.35">
      <c r="A251" s="3"/>
      <c r="B251" s="3"/>
      <c r="C251" s="3"/>
      <c r="E251" s="3"/>
      <c r="G251" s="3"/>
    </row>
    <row r="252" spans="1:7" ht="23.25" customHeight="1" x14ac:dyDescent="0.35">
      <c r="A252" s="3"/>
      <c r="B252" s="3"/>
      <c r="C252" s="3"/>
      <c r="E252" s="3"/>
      <c r="G252" s="3"/>
    </row>
    <row r="253" spans="1:7" x14ac:dyDescent="0.35">
      <c r="A253" s="3"/>
      <c r="B253" s="3"/>
      <c r="C253" s="3"/>
      <c r="E253" s="3"/>
      <c r="G253" s="3"/>
    </row>
  </sheetData>
  <sheetProtection password="CC03" sheet="1" objects="1" scenarios="1"/>
  <mergeCells count="25">
    <mergeCell ref="A14:G16"/>
    <mergeCell ref="A6:B6"/>
    <mergeCell ref="A7:B7"/>
    <mergeCell ref="A8:B8"/>
    <mergeCell ref="A9:B9"/>
    <mergeCell ref="A10:B10"/>
    <mergeCell ref="C6:G6"/>
    <mergeCell ref="C7:G7"/>
    <mergeCell ref="C8:G8"/>
    <mergeCell ref="C9:G9"/>
    <mergeCell ref="C10:G10"/>
    <mergeCell ref="C11:G11"/>
    <mergeCell ref="C13:G13"/>
    <mergeCell ref="A12:G12"/>
    <mergeCell ref="A13:B13"/>
    <mergeCell ref="A11:B11"/>
    <mergeCell ref="A1:G1"/>
    <mergeCell ref="A2:B2"/>
    <mergeCell ref="A3:B3"/>
    <mergeCell ref="A4:B4"/>
    <mergeCell ref="A5:B5"/>
    <mergeCell ref="C2:G2"/>
    <mergeCell ref="C3:G3"/>
    <mergeCell ref="C4:G4"/>
    <mergeCell ref="C5:G5"/>
  </mergeCells>
  <dataValidations count="2">
    <dataValidation type="list" showInputMessage="1" showErrorMessage="1" sqref="F84">
      <formula1>$A$2:$A$44</formula1>
    </dataValidation>
    <dataValidation type="list" showInputMessage="1" showErrorMessage="1" sqref="F90 F96 F92">
      <formula1>$A$2:$A$41</formula1>
    </dataValidation>
  </dataValidations>
  <pageMargins left="0.23622047244094491" right="0.23622047244094491" top="0.55118110236220474" bottom="0.55118110236220474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Answer!$A$2:$A$3</xm:f>
          </x14:formula1>
          <xm:sqref>E122 E181 E195 E207 E145 E163</xm:sqref>
        </x14:dataValidation>
        <x14:dataValidation type="list" allowBlank="1" showInputMessage="1" showErrorMessage="1">
          <x14:formula1>
            <xm:f>Answer!$C$2:$C$5</xm:f>
          </x14:formula1>
          <xm:sqref>C13</xm:sqref>
        </x14:dataValidation>
        <x14:dataValidation type="list" allowBlank="1" showInputMessage="1" showErrorMessage="1">
          <x14:formula1>
            <xm:f>Answer!$E$2:$E$10</xm:f>
          </x14:formula1>
          <xm:sqref>C9</xm:sqref>
        </x14:dataValidation>
        <x14:dataValidation type="list" showInputMessage="1" showErrorMessage="1">
          <x14:formula1>
            <xm:f>Answer!$F$2:$F$20</xm:f>
          </x14:formula1>
          <xm:sqref>F85:F88</xm:sqref>
        </x14:dataValidation>
        <x14:dataValidation type="list" showInputMessage="1" showErrorMessage="1">
          <x14:formula1>
            <xm:f>Colours!$A$2:$A$50</xm:f>
          </x14:formula1>
          <xm:sqref>F18:F31 F33:F34 F89 F62:F83 F36:F40 F99:F100 F91 F93:F95 F42:F60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2" workbookViewId="0">
      <selection activeCell="D30" sqref="D30"/>
    </sheetView>
  </sheetViews>
  <sheetFormatPr defaultRowHeight="14.5" x14ac:dyDescent="0.35"/>
  <cols>
    <col min="1" max="1" width="42.7265625" bestFit="1" customWidth="1"/>
  </cols>
  <sheetData>
    <row r="1" spans="1:1" ht="15" x14ac:dyDescent="0.25">
      <c r="A1" s="1" t="s">
        <v>3</v>
      </c>
    </row>
    <row r="2" spans="1:1" ht="15" x14ac:dyDescent="0.25">
      <c r="A2" s="1"/>
    </row>
    <row r="3" spans="1:1" x14ac:dyDescent="0.35">
      <c r="A3" s="2" t="s">
        <v>143</v>
      </c>
    </row>
    <row r="4" spans="1:1" x14ac:dyDescent="0.35">
      <c r="A4" s="2"/>
    </row>
    <row r="5" spans="1:1" x14ac:dyDescent="0.35">
      <c r="A5" s="2" t="s">
        <v>248</v>
      </c>
    </row>
    <row r="6" spans="1:1" x14ac:dyDescent="0.35">
      <c r="A6" s="2" t="s">
        <v>169</v>
      </c>
    </row>
    <row r="7" spans="1:1" x14ac:dyDescent="0.35">
      <c r="A7" s="2" t="s">
        <v>207</v>
      </c>
    </row>
    <row r="8" spans="1:1" ht="15" x14ac:dyDescent="0.25">
      <c r="A8" t="s">
        <v>19</v>
      </c>
    </row>
    <row r="9" spans="1:1" ht="15" x14ac:dyDescent="0.25">
      <c r="A9" t="s">
        <v>42</v>
      </c>
    </row>
    <row r="10" spans="1:1" ht="15" x14ac:dyDescent="0.25">
      <c r="A10" t="s">
        <v>300</v>
      </c>
    </row>
    <row r="11" spans="1:1" ht="15" x14ac:dyDescent="0.25">
      <c r="A11" t="s">
        <v>25</v>
      </c>
    </row>
    <row r="12" spans="1:1" ht="15" x14ac:dyDescent="0.25">
      <c r="A12" t="s">
        <v>26</v>
      </c>
    </row>
    <row r="13" spans="1:1" ht="15" x14ac:dyDescent="0.25">
      <c r="A13" t="s">
        <v>97</v>
      </c>
    </row>
    <row r="14" spans="1:1" ht="15" x14ac:dyDescent="0.25">
      <c r="A14" t="s">
        <v>301</v>
      </c>
    </row>
    <row r="15" spans="1:1" ht="15" x14ac:dyDescent="0.25">
      <c r="A15" t="s">
        <v>30</v>
      </c>
    </row>
    <row r="16" spans="1:1" ht="15" x14ac:dyDescent="0.25">
      <c r="A16" t="s">
        <v>34</v>
      </c>
    </row>
    <row r="17" spans="1:1" ht="15" x14ac:dyDescent="0.25">
      <c r="A17" t="s">
        <v>302</v>
      </c>
    </row>
    <row r="18" spans="1:1" ht="15" x14ac:dyDescent="0.25">
      <c r="A18" t="s">
        <v>303</v>
      </c>
    </row>
    <row r="20" spans="1:1" x14ac:dyDescent="0.35">
      <c r="A20" t="s">
        <v>20</v>
      </c>
    </row>
    <row r="21" spans="1:1" ht="15" x14ac:dyDescent="0.25">
      <c r="A21" t="s">
        <v>51</v>
      </c>
    </row>
    <row r="22" spans="1:1" ht="15" x14ac:dyDescent="0.25">
      <c r="A22" t="s">
        <v>52</v>
      </c>
    </row>
    <row r="23" spans="1:1" ht="15" x14ac:dyDescent="0.25">
      <c r="A23" t="s">
        <v>27</v>
      </c>
    </row>
    <row r="24" spans="1:1" ht="15" x14ac:dyDescent="0.25">
      <c r="A24" t="s">
        <v>308</v>
      </c>
    </row>
    <row r="25" spans="1:1" ht="15" x14ac:dyDescent="0.25">
      <c r="A25" t="s">
        <v>249</v>
      </c>
    </row>
    <row r="26" spans="1:1" x14ac:dyDescent="0.35">
      <c r="A26" t="s">
        <v>21</v>
      </c>
    </row>
    <row r="27" spans="1:1" x14ac:dyDescent="0.35">
      <c r="A27" t="s">
        <v>317</v>
      </c>
    </row>
    <row r="28" spans="1:1" x14ac:dyDescent="0.35">
      <c r="A28" t="s">
        <v>316</v>
      </c>
    </row>
    <row r="29" spans="1:1" x14ac:dyDescent="0.35">
      <c r="A29" t="s">
        <v>28</v>
      </c>
    </row>
    <row r="30" spans="1:1" x14ac:dyDescent="0.35">
      <c r="A30" t="s">
        <v>22</v>
      </c>
    </row>
    <row r="31" spans="1:1" x14ac:dyDescent="0.35">
      <c r="A31" t="s">
        <v>54</v>
      </c>
    </row>
    <row r="32" spans="1:1" x14ac:dyDescent="0.35">
      <c r="A32" t="s">
        <v>53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115</v>
      </c>
    </row>
    <row r="37" spans="1:1" x14ac:dyDescent="0.35">
      <c r="A37" t="s">
        <v>307</v>
      </c>
    </row>
    <row r="38" spans="1:1" x14ac:dyDescent="0.35">
      <c r="A38" t="s">
        <v>210</v>
      </c>
    </row>
    <row r="39" spans="1:1" x14ac:dyDescent="0.35">
      <c r="A39" t="s">
        <v>312</v>
      </c>
    </row>
    <row r="41" spans="1:1" x14ac:dyDescent="0.35">
      <c r="A41" t="s">
        <v>315</v>
      </c>
    </row>
    <row r="42" spans="1:1" x14ac:dyDescent="0.35">
      <c r="A42" t="s">
        <v>309</v>
      </c>
    </row>
    <row r="43" spans="1:1" x14ac:dyDescent="0.35">
      <c r="A43" t="s">
        <v>310</v>
      </c>
    </row>
    <row r="44" spans="1:1" x14ac:dyDescent="0.35">
      <c r="A44" t="s">
        <v>311</v>
      </c>
    </row>
    <row r="45" spans="1:1" x14ac:dyDescent="0.35">
      <c r="A45" t="s">
        <v>313</v>
      </c>
    </row>
    <row r="46" spans="1:1" x14ac:dyDescent="0.35">
      <c r="A46" t="s">
        <v>314</v>
      </c>
    </row>
    <row r="48" spans="1:1" x14ac:dyDescent="0.35">
      <c r="A48" t="s">
        <v>23</v>
      </c>
    </row>
    <row r="50" spans="1:1" x14ac:dyDescent="0.35">
      <c r="A50" t="s">
        <v>29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D6" sqref="D6"/>
    </sheetView>
  </sheetViews>
  <sheetFormatPr defaultRowHeight="14.5" x14ac:dyDescent="0.35"/>
  <cols>
    <col min="1" max="1" width="24.90625" style="3" bestFit="1" customWidth="1"/>
    <col min="2" max="2" width="10" style="154" customWidth="1"/>
    <col min="3" max="3" width="10" style="3" customWidth="1"/>
    <col min="4" max="4" width="36" style="3" bestFit="1" customWidth="1"/>
    <col min="5" max="6" width="33.1796875" style="3" hidden="1" customWidth="1"/>
    <col min="7" max="7" width="33.1796875" style="3" customWidth="1"/>
    <col min="8" max="9" width="33.1796875" style="3" hidden="1" customWidth="1"/>
    <col min="10" max="11" width="33.1796875" style="3" customWidth="1"/>
    <col min="12" max="12" width="23.1796875" style="3" hidden="1" customWidth="1"/>
    <col min="13" max="13" width="33.1796875" style="3" hidden="1" customWidth="1"/>
    <col min="14" max="14" width="11" style="3" customWidth="1"/>
    <col min="15" max="15" width="8.7265625" style="3"/>
    <col min="16" max="16" width="9.90625" style="3" bestFit="1" customWidth="1"/>
    <col min="17" max="18" width="0" style="3" hidden="1" customWidth="1"/>
    <col min="19" max="16384" width="8.7265625" style="3"/>
  </cols>
  <sheetData>
    <row r="1" spans="1:18" x14ac:dyDescent="0.35">
      <c r="A1" s="231" t="s">
        <v>402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8" x14ac:dyDescent="0.3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8" x14ac:dyDescent="0.35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1:18" ht="77.5" x14ac:dyDescent="0.35">
      <c r="A4" s="171" t="s">
        <v>336</v>
      </c>
      <c r="B4" s="172" t="s">
        <v>370</v>
      </c>
      <c r="C4" s="172" t="s">
        <v>337</v>
      </c>
      <c r="D4" s="171" t="s">
        <v>386</v>
      </c>
      <c r="E4" s="171" t="s">
        <v>387</v>
      </c>
      <c r="F4" s="171" t="s">
        <v>388</v>
      </c>
      <c r="G4" s="171" t="s">
        <v>401</v>
      </c>
      <c r="H4" s="171" t="s">
        <v>392</v>
      </c>
      <c r="I4" s="171" t="s">
        <v>393</v>
      </c>
      <c r="J4" s="180" t="s">
        <v>385</v>
      </c>
      <c r="K4" s="172" t="s">
        <v>390</v>
      </c>
      <c r="L4" s="172" t="s">
        <v>391</v>
      </c>
      <c r="M4" s="172" t="s">
        <v>389</v>
      </c>
      <c r="N4" s="173" t="s">
        <v>394</v>
      </c>
      <c r="O4" s="172" t="s">
        <v>1</v>
      </c>
      <c r="P4" s="172" t="s">
        <v>395</v>
      </c>
      <c r="Q4" s="172" t="s">
        <v>396</v>
      </c>
      <c r="R4" s="172" t="s">
        <v>399</v>
      </c>
    </row>
    <row r="5" spans="1:18" ht="20" customHeight="1" x14ac:dyDescent="0.35">
      <c r="A5" s="195" t="s">
        <v>371</v>
      </c>
      <c r="B5" s="196" t="s">
        <v>372</v>
      </c>
      <c r="C5" s="197">
        <v>1700</v>
      </c>
      <c r="D5" s="181"/>
      <c r="E5" s="181">
        <v>24</v>
      </c>
      <c r="F5" s="182">
        <f t="shared" ref="F5:F21" si="0">IF(OR(D5="M10 Zinc Plated screw-in t-nut (round)",
D5="3/8 Zinc Plated screw-in t-nut (round)"), 0*E5,
IF(OR(D5="M10 Stainless Steel screw-in t-nut (round)",
D5="3/8 Stainless Steel screw-in t-nut (round)"), 1*E5,0))</f>
        <v>0</v>
      </c>
      <c r="G5" s="181"/>
      <c r="H5" s="181">
        <v>48</v>
      </c>
      <c r="I5" s="182">
        <f t="shared" ref="I5:I21" si="1">IF(G5="Standard insert recess holes (12.5mm)",0*H5,IF(G5="Narrow insert recess holes (10mm)",8*H5,0))</f>
        <v>0</v>
      </c>
      <c r="J5" s="202"/>
      <c r="K5" s="202"/>
      <c r="L5" s="195">
        <v>80</v>
      </c>
      <c r="M5" s="169">
        <f t="shared" ref="M5:M21" si="2">IF(J5="Durable varnish",0,
IF(J5="Durable paint untextured",0,
IF(J5="Durable paint textured",L5,0)))</f>
        <v>0</v>
      </c>
      <c r="N5" s="170">
        <f t="shared" ref="N5:N21" si="3">C5+M5+F5+I5</f>
        <v>1700</v>
      </c>
      <c r="O5" s="204"/>
      <c r="P5" s="185" t="str">
        <f>IF(O5="","",O5*N5)</f>
        <v/>
      </c>
      <c r="Q5" s="196">
        <v>8600</v>
      </c>
      <c r="R5" s="196">
        <f>Q5*O5</f>
        <v>0</v>
      </c>
    </row>
    <row r="6" spans="1:18" ht="20" customHeight="1" x14ac:dyDescent="0.35">
      <c r="A6" s="14" t="s">
        <v>338</v>
      </c>
      <c r="B6" s="11" t="s">
        <v>339</v>
      </c>
      <c r="C6" s="198">
        <v>195</v>
      </c>
      <c r="D6" s="183"/>
      <c r="E6" s="183">
        <v>3</v>
      </c>
      <c r="F6" s="184">
        <f t="shared" si="0"/>
        <v>0</v>
      </c>
      <c r="G6" s="183"/>
      <c r="H6" s="183">
        <v>6</v>
      </c>
      <c r="I6" s="184">
        <f t="shared" si="1"/>
        <v>0</v>
      </c>
      <c r="J6" s="203"/>
      <c r="K6" s="203"/>
      <c r="L6" s="14">
        <v>10</v>
      </c>
      <c r="M6" s="168">
        <f t="shared" si="2"/>
        <v>0</v>
      </c>
      <c r="N6" s="15">
        <f t="shared" si="3"/>
        <v>195</v>
      </c>
      <c r="O6" s="205"/>
      <c r="P6" s="186" t="str">
        <f t="shared" ref="P6:P21" si="4">IF(O6="","",O6*N6)</f>
        <v/>
      </c>
      <c r="Q6" s="11">
        <v>900</v>
      </c>
      <c r="R6" s="11">
        <f t="shared" ref="R6:R21" si="5">Q6*O6</f>
        <v>0</v>
      </c>
    </row>
    <row r="7" spans="1:18" ht="20" customHeight="1" x14ac:dyDescent="0.35">
      <c r="A7" s="14" t="s">
        <v>340</v>
      </c>
      <c r="B7" s="11" t="s">
        <v>341</v>
      </c>
      <c r="C7" s="198">
        <v>200</v>
      </c>
      <c r="D7" s="183"/>
      <c r="E7" s="183">
        <v>3</v>
      </c>
      <c r="F7" s="184">
        <f t="shared" si="0"/>
        <v>0</v>
      </c>
      <c r="G7" s="183"/>
      <c r="H7" s="183">
        <v>6</v>
      </c>
      <c r="I7" s="184">
        <f t="shared" si="1"/>
        <v>0</v>
      </c>
      <c r="J7" s="203"/>
      <c r="K7" s="203"/>
      <c r="L7" s="14">
        <v>10</v>
      </c>
      <c r="M7" s="168">
        <f t="shared" si="2"/>
        <v>0</v>
      </c>
      <c r="N7" s="15">
        <f t="shared" si="3"/>
        <v>200</v>
      </c>
      <c r="O7" s="205"/>
      <c r="P7" s="186" t="str">
        <f t="shared" si="4"/>
        <v/>
      </c>
      <c r="Q7" s="11">
        <v>950</v>
      </c>
      <c r="R7" s="11">
        <f t="shared" si="5"/>
        <v>0</v>
      </c>
    </row>
    <row r="8" spans="1:18" ht="20" customHeight="1" x14ac:dyDescent="0.35">
      <c r="A8" s="14" t="s">
        <v>342</v>
      </c>
      <c r="B8" s="11" t="s">
        <v>343</v>
      </c>
      <c r="C8" s="198">
        <v>205</v>
      </c>
      <c r="D8" s="183"/>
      <c r="E8" s="183">
        <v>3</v>
      </c>
      <c r="F8" s="184">
        <f t="shared" si="0"/>
        <v>0</v>
      </c>
      <c r="G8" s="183"/>
      <c r="H8" s="183">
        <v>6</v>
      </c>
      <c r="I8" s="184">
        <f t="shared" si="1"/>
        <v>0</v>
      </c>
      <c r="J8" s="203"/>
      <c r="K8" s="203"/>
      <c r="L8" s="14">
        <v>10</v>
      </c>
      <c r="M8" s="168">
        <f t="shared" si="2"/>
        <v>0</v>
      </c>
      <c r="N8" s="15">
        <f t="shared" si="3"/>
        <v>205</v>
      </c>
      <c r="O8" s="205"/>
      <c r="P8" s="186" t="str">
        <f t="shared" si="4"/>
        <v/>
      </c>
      <c r="Q8" s="11">
        <v>1000</v>
      </c>
      <c r="R8" s="11">
        <f t="shared" si="5"/>
        <v>0</v>
      </c>
    </row>
    <row r="9" spans="1:18" ht="20" customHeight="1" x14ac:dyDescent="0.35">
      <c r="A9" s="14" t="s">
        <v>344</v>
      </c>
      <c r="B9" s="11" t="s">
        <v>345</v>
      </c>
      <c r="C9" s="198">
        <v>210</v>
      </c>
      <c r="D9" s="183"/>
      <c r="E9" s="183">
        <v>3</v>
      </c>
      <c r="F9" s="184">
        <f t="shared" si="0"/>
        <v>0</v>
      </c>
      <c r="G9" s="183"/>
      <c r="H9" s="183">
        <v>6</v>
      </c>
      <c r="I9" s="184">
        <f t="shared" si="1"/>
        <v>0</v>
      </c>
      <c r="J9" s="203"/>
      <c r="K9" s="203"/>
      <c r="L9" s="14">
        <v>10</v>
      </c>
      <c r="M9" s="168">
        <f t="shared" si="2"/>
        <v>0</v>
      </c>
      <c r="N9" s="15">
        <f t="shared" si="3"/>
        <v>210</v>
      </c>
      <c r="O9" s="205"/>
      <c r="P9" s="186" t="str">
        <f t="shared" si="4"/>
        <v/>
      </c>
      <c r="Q9" s="11">
        <v>1050</v>
      </c>
      <c r="R9" s="11">
        <f t="shared" si="5"/>
        <v>0</v>
      </c>
    </row>
    <row r="10" spans="1:18" ht="20" customHeight="1" x14ac:dyDescent="0.35">
      <c r="A10" s="14" t="s">
        <v>346</v>
      </c>
      <c r="B10" s="11" t="s">
        <v>347</v>
      </c>
      <c r="C10" s="198">
        <v>215</v>
      </c>
      <c r="D10" s="183"/>
      <c r="E10" s="183">
        <v>3</v>
      </c>
      <c r="F10" s="184">
        <f t="shared" si="0"/>
        <v>0</v>
      </c>
      <c r="G10" s="183"/>
      <c r="H10" s="183">
        <v>6</v>
      </c>
      <c r="I10" s="184">
        <f t="shared" si="1"/>
        <v>0</v>
      </c>
      <c r="J10" s="203"/>
      <c r="K10" s="203"/>
      <c r="L10" s="14">
        <v>10</v>
      </c>
      <c r="M10" s="168">
        <f t="shared" si="2"/>
        <v>0</v>
      </c>
      <c r="N10" s="15">
        <f t="shared" si="3"/>
        <v>215</v>
      </c>
      <c r="O10" s="205"/>
      <c r="P10" s="186" t="str">
        <f t="shared" si="4"/>
        <v/>
      </c>
      <c r="Q10" s="11">
        <v>1100</v>
      </c>
      <c r="R10" s="11">
        <f t="shared" si="5"/>
        <v>0</v>
      </c>
    </row>
    <row r="11" spans="1:18" ht="20" customHeight="1" x14ac:dyDescent="0.35">
      <c r="A11" s="14" t="s">
        <v>348</v>
      </c>
      <c r="B11" s="11" t="s">
        <v>349</v>
      </c>
      <c r="C11" s="198">
        <v>220</v>
      </c>
      <c r="D11" s="183"/>
      <c r="E11" s="183">
        <v>3</v>
      </c>
      <c r="F11" s="184">
        <f t="shared" si="0"/>
        <v>0</v>
      </c>
      <c r="G11" s="183"/>
      <c r="H11" s="183">
        <v>6</v>
      </c>
      <c r="I11" s="184">
        <f t="shared" si="1"/>
        <v>0</v>
      </c>
      <c r="J11" s="203"/>
      <c r="K11" s="203"/>
      <c r="L11" s="14">
        <v>10</v>
      </c>
      <c r="M11" s="168">
        <f t="shared" si="2"/>
        <v>0</v>
      </c>
      <c r="N11" s="15">
        <f t="shared" si="3"/>
        <v>220</v>
      </c>
      <c r="O11" s="205"/>
      <c r="P11" s="186" t="str">
        <f t="shared" si="4"/>
        <v/>
      </c>
      <c r="Q11" s="11">
        <v>1150</v>
      </c>
      <c r="R11" s="11">
        <f t="shared" si="5"/>
        <v>0</v>
      </c>
    </row>
    <row r="12" spans="1:18" ht="20" customHeight="1" x14ac:dyDescent="0.35">
      <c r="A12" s="14" t="s">
        <v>350</v>
      </c>
      <c r="B12" s="11" t="s">
        <v>351</v>
      </c>
      <c r="C12" s="198">
        <v>225</v>
      </c>
      <c r="D12" s="183"/>
      <c r="E12" s="183">
        <v>3</v>
      </c>
      <c r="F12" s="184">
        <f t="shared" si="0"/>
        <v>0</v>
      </c>
      <c r="G12" s="183"/>
      <c r="H12" s="183">
        <v>6</v>
      </c>
      <c r="I12" s="184">
        <f t="shared" si="1"/>
        <v>0</v>
      </c>
      <c r="J12" s="203"/>
      <c r="K12" s="203"/>
      <c r="L12" s="14">
        <v>10</v>
      </c>
      <c r="M12" s="168">
        <f t="shared" si="2"/>
        <v>0</v>
      </c>
      <c r="N12" s="15">
        <f t="shared" si="3"/>
        <v>225</v>
      </c>
      <c r="O12" s="205"/>
      <c r="P12" s="186" t="str">
        <f t="shared" si="4"/>
        <v/>
      </c>
      <c r="Q12" s="11">
        <v>1200</v>
      </c>
      <c r="R12" s="11">
        <f t="shared" si="5"/>
        <v>0</v>
      </c>
    </row>
    <row r="13" spans="1:18" ht="20" customHeight="1" x14ac:dyDescent="0.35">
      <c r="A13" s="14" t="s">
        <v>352</v>
      </c>
      <c r="B13" s="11" t="s">
        <v>353</v>
      </c>
      <c r="C13" s="198">
        <v>230</v>
      </c>
      <c r="D13" s="183"/>
      <c r="E13" s="183">
        <v>3</v>
      </c>
      <c r="F13" s="184">
        <f t="shared" si="0"/>
        <v>0</v>
      </c>
      <c r="G13" s="183"/>
      <c r="H13" s="183">
        <v>6</v>
      </c>
      <c r="I13" s="184">
        <f t="shared" si="1"/>
        <v>0</v>
      </c>
      <c r="J13" s="203"/>
      <c r="K13" s="203"/>
      <c r="L13" s="14">
        <v>10</v>
      </c>
      <c r="M13" s="168">
        <f t="shared" si="2"/>
        <v>0</v>
      </c>
      <c r="N13" s="15">
        <f t="shared" si="3"/>
        <v>230</v>
      </c>
      <c r="O13" s="205"/>
      <c r="P13" s="186" t="str">
        <f t="shared" si="4"/>
        <v/>
      </c>
      <c r="Q13" s="11">
        <v>1250</v>
      </c>
      <c r="R13" s="11">
        <f t="shared" si="5"/>
        <v>0</v>
      </c>
    </row>
    <row r="14" spans="1:18" ht="20" customHeight="1" x14ac:dyDescent="0.35">
      <c r="A14" s="195" t="s">
        <v>354</v>
      </c>
      <c r="B14" s="196" t="s">
        <v>355</v>
      </c>
      <c r="C14" s="197">
        <v>275</v>
      </c>
      <c r="D14" s="181"/>
      <c r="E14" s="181"/>
      <c r="F14" s="182"/>
      <c r="G14" s="181"/>
      <c r="H14" s="181"/>
      <c r="I14" s="182"/>
      <c r="J14" s="202"/>
      <c r="K14" s="202"/>
      <c r="L14" s="195">
        <v>12</v>
      </c>
      <c r="M14" s="169">
        <f t="shared" si="2"/>
        <v>0</v>
      </c>
      <c r="N14" s="170">
        <f t="shared" si="3"/>
        <v>275</v>
      </c>
      <c r="O14" s="204"/>
      <c r="P14" s="185" t="str">
        <f t="shared" si="4"/>
        <v/>
      </c>
      <c r="Q14" s="196">
        <v>2000</v>
      </c>
      <c r="R14" s="196">
        <f t="shared" si="5"/>
        <v>0</v>
      </c>
    </row>
    <row r="15" spans="1:18" ht="20" customHeight="1" x14ac:dyDescent="0.35">
      <c r="A15" s="14" t="s">
        <v>356</v>
      </c>
      <c r="B15" s="11" t="s">
        <v>357</v>
      </c>
      <c r="C15" s="198">
        <v>295</v>
      </c>
      <c r="D15" s="183"/>
      <c r="E15" s="183">
        <v>9</v>
      </c>
      <c r="F15" s="184">
        <f t="shared" si="0"/>
        <v>0</v>
      </c>
      <c r="G15" s="183"/>
      <c r="H15" s="183">
        <v>9</v>
      </c>
      <c r="I15" s="184">
        <f t="shared" si="1"/>
        <v>0</v>
      </c>
      <c r="J15" s="203"/>
      <c r="K15" s="203"/>
      <c r="L15" s="14">
        <v>20</v>
      </c>
      <c r="M15" s="168">
        <f t="shared" si="2"/>
        <v>0</v>
      </c>
      <c r="N15" s="15">
        <f t="shared" si="3"/>
        <v>295</v>
      </c>
      <c r="O15" s="205"/>
      <c r="P15" s="186" t="str">
        <f t="shared" si="4"/>
        <v/>
      </c>
      <c r="Q15" s="11">
        <v>2650</v>
      </c>
      <c r="R15" s="11">
        <f t="shared" si="5"/>
        <v>0</v>
      </c>
    </row>
    <row r="16" spans="1:18" ht="20" customHeight="1" x14ac:dyDescent="0.35">
      <c r="A16" s="14" t="s">
        <v>358</v>
      </c>
      <c r="B16" s="11" t="s">
        <v>359</v>
      </c>
      <c r="C16" s="198">
        <v>295</v>
      </c>
      <c r="D16" s="183"/>
      <c r="E16" s="183">
        <v>9</v>
      </c>
      <c r="F16" s="184">
        <f t="shared" si="0"/>
        <v>0</v>
      </c>
      <c r="G16" s="183"/>
      <c r="H16" s="183">
        <v>8</v>
      </c>
      <c r="I16" s="184">
        <f t="shared" si="1"/>
        <v>0</v>
      </c>
      <c r="J16" s="203"/>
      <c r="K16" s="203"/>
      <c r="L16" s="14">
        <v>20</v>
      </c>
      <c r="M16" s="168">
        <f t="shared" si="2"/>
        <v>0</v>
      </c>
      <c r="N16" s="15">
        <f t="shared" si="3"/>
        <v>295</v>
      </c>
      <c r="O16" s="205"/>
      <c r="P16" s="186" t="str">
        <f t="shared" si="4"/>
        <v/>
      </c>
      <c r="Q16" s="11">
        <v>2750</v>
      </c>
      <c r="R16" s="11">
        <f t="shared" si="5"/>
        <v>0</v>
      </c>
    </row>
    <row r="17" spans="1:18" ht="20" customHeight="1" x14ac:dyDescent="0.35">
      <c r="A17" s="14" t="s">
        <v>360</v>
      </c>
      <c r="B17" s="11" t="s">
        <v>361</v>
      </c>
      <c r="C17" s="198">
        <v>450</v>
      </c>
      <c r="D17" s="183"/>
      <c r="E17" s="183">
        <v>27</v>
      </c>
      <c r="F17" s="184">
        <f t="shared" si="0"/>
        <v>0</v>
      </c>
      <c r="G17" s="183"/>
      <c r="H17" s="183">
        <v>11</v>
      </c>
      <c r="I17" s="184">
        <f t="shared" si="1"/>
        <v>0</v>
      </c>
      <c r="J17" s="203"/>
      <c r="K17" s="203"/>
      <c r="L17" s="14">
        <v>25</v>
      </c>
      <c r="M17" s="168">
        <f t="shared" si="2"/>
        <v>0</v>
      </c>
      <c r="N17" s="15">
        <f t="shared" si="3"/>
        <v>450</v>
      </c>
      <c r="O17" s="205"/>
      <c r="P17" s="186" t="str">
        <f t="shared" si="4"/>
        <v/>
      </c>
      <c r="Q17" s="11">
        <v>6700</v>
      </c>
      <c r="R17" s="11">
        <f t="shared" si="5"/>
        <v>0</v>
      </c>
    </row>
    <row r="18" spans="1:18" ht="20" customHeight="1" x14ac:dyDescent="0.35">
      <c r="A18" s="195" t="s">
        <v>362</v>
      </c>
      <c r="B18" s="196" t="s">
        <v>363</v>
      </c>
      <c r="C18" s="197">
        <v>475</v>
      </c>
      <c r="D18" s="181"/>
      <c r="E18" s="181">
        <v>22</v>
      </c>
      <c r="F18" s="182">
        <f t="shared" si="0"/>
        <v>0</v>
      </c>
      <c r="G18" s="181"/>
      <c r="H18" s="181">
        <v>12</v>
      </c>
      <c r="I18" s="182">
        <f t="shared" si="1"/>
        <v>0</v>
      </c>
      <c r="J18" s="202"/>
      <c r="K18" s="202"/>
      <c r="L18" s="195">
        <v>25</v>
      </c>
      <c r="M18" s="169">
        <f t="shared" si="2"/>
        <v>0</v>
      </c>
      <c r="N18" s="170">
        <f t="shared" si="3"/>
        <v>475</v>
      </c>
      <c r="O18" s="204"/>
      <c r="P18" s="185" t="str">
        <f t="shared" si="4"/>
        <v/>
      </c>
      <c r="Q18" s="196">
        <v>7500</v>
      </c>
      <c r="R18" s="196">
        <f t="shared" si="5"/>
        <v>0</v>
      </c>
    </row>
    <row r="19" spans="1:18" ht="20" customHeight="1" x14ac:dyDescent="0.35">
      <c r="A19" s="14" t="s">
        <v>364</v>
      </c>
      <c r="B19" s="11" t="s">
        <v>365</v>
      </c>
      <c r="C19" s="198">
        <v>495</v>
      </c>
      <c r="D19" s="183"/>
      <c r="E19" s="183">
        <v>26</v>
      </c>
      <c r="F19" s="184">
        <f t="shared" si="0"/>
        <v>0</v>
      </c>
      <c r="G19" s="183"/>
      <c r="H19" s="183">
        <v>10</v>
      </c>
      <c r="I19" s="184">
        <f t="shared" si="1"/>
        <v>0</v>
      </c>
      <c r="J19" s="203"/>
      <c r="K19" s="203"/>
      <c r="L19" s="14">
        <v>30</v>
      </c>
      <c r="M19" s="168">
        <f t="shared" si="2"/>
        <v>0</v>
      </c>
      <c r="N19" s="15">
        <f t="shared" si="3"/>
        <v>495</v>
      </c>
      <c r="O19" s="205"/>
      <c r="P19" s="186" t="str">
        <f t="shared" si="4"/>
        <v/>
      </c>
      <c r="Q19" s="11">
        <v>8000</v>
      </c>
      <c r="R19" s="11">
        <f t="shared" si="5"/>
        <v>0</v>
      </c>
    </row>
    <row r="20" spans="1:18" ht="20" customHeight="1" x14ac:dyDescent="0.35">
      <c r="A20" s="195" t="s">
        <v>366</v>
      </c>
      <c r="B20" s="196" t="s">
        <v>367</v>
      </c>
      <c r="C20" s="197">
        <v>595</v>
      </c>
      <c r="D20" s="181"/>
      <c r="E20" s="181">
        <v>41</v>
      </c>
      <c r="F20" s="182">
        <f t="shared" si="0"/>
        <v>0</v>
      </c>
      <c r="G20" s="181"/>
      <c r="H20" s="181">
        <v>12</v>
      </c>
      <c r="I20" s="182">
        <f t="shared" si="1"/>
        <v>0</v>
      </c>
      <c r="J20" s="202"/>
      <c r="K20" s="202"/>
      <c r="L20" s="195">
        <v>35</v>
      </c>
      <c r="M20" s="169">
        <f t="shared" si="2"/>
        <v>0</v>
      </c>
      <c r="N20" s="170">
        <f t="shared" si="3"/>
        <v>595</v>
      </c>
      <c r="O20" s="204"/>
      <c r="P20" s="185" t="str">
        <f t="shared" si="4"/>
        <v/>
      </c>
      <c r="Q20" s="196">
        <v>10500</v>
      </c>
      <c r="R20" s="196">
        <f t="shared" si="5"/>
        <v>0</v>
      </c>
    </row>
    <row r="21" spans="1:18" ht="20" customHeight="1" x14ac:dyDescent="0.35">
      <c r="A21" s="14" t="s">
        <v>368</v>
      </c>
      <c r="B21" s="11" t="s">
        <v>369</v>
      </c>
      <c r="C21" s="198">
        <v>750</v>
      </c>
      <c r="D21" s="183"/>
      <c r="E21" s="183">
        <v>54</v>
      </c>
      <c r="F21" s="184">
        <f t="shared" si="0"/>
        <v>0</v>
      </c>
      <c r="G21" s="183"/>
      <c r="H21" s="183">
        <v>12</v>
      </c>
      <c r="I21" s="184">
        <f t="shared" si="1"/>
        <v>0</v>
      </c>
      <c r="J21" s="203"/>
      <c r="K21" s="203"/>
      <c r="L21" s="14">
        <v>35</v>
      </c>
      <c r="M21" s="168">
        <f t="shared" si="2"/>
        <v>0</v>
      </c>
      <c r="N21" s="187">
        <f t="shared" si="3"/>
        <v>750</v>
      </c>
      <c r="O21" s="206"/>
      <c r="P21" s="188" t="str">
        <f t="shared" si="4"/>
        <v/>
      </c>
      <c r="Q21" s="11">
        <v>13800</v>
      </c>
      <c r="R21" s="11">
        <f t="shared" si="5"/>
        <v>0</v>
      </c>
    </row>
    <row r="22" spans="1:18" ht="20" customHeight="1" x14ac:dyDescent="0.35">
      <c r="N22" s="199"/>
      <c r="O22" s="189" t="s">
        <v>400</v>
      </c>
      <c r="P22" s="190">
        <f>SUM(P5:P21)</f>
        <v>0</v>
      </c>
      <c r="Q22" s="37"/>
      <c r="R22" s="196">
        <f>SUM(R5:R21)</f>
        <v>0</v>
      </c>
    </row>
    <row r="23" spans="1:18" ht="20" customHeight="1" x14ac:dyDescent="0.35">
      <c r="N23" s="200"/>
      <c r="O23" s="193" t="s">
        <v>397</v>
      </c>
      <c r="P23" s="194">
        <f>SUM(O6:O21)+8*O5</f>
        <v>0</v>
      </c>
    </row>
    <row r="24" spans="1:18" ht="20" customHeight="1" x14ac:dyDescent="0.35">
      <c r="N24" s="201"/>
      <c r="O24" s="191" t="s">
        <v>137</v>
      </c>
      <c r="P24" s="192" t="s">
        <v>398</v>
      </c>
    </row>
  </sheetData>
  <sheetProtection password="CC03" sheet="1" objects="1" scenarios="1"/>
  <mergeCells count="1">
    <mergeCell ref="A1:N3"/>
  </mergeCells>
  <dataValidations count="3">
    <dataValidation showInputMessage="1" showErrorMessage="1" sqref="H5:I21"/>
    <dataValidation type="whole" operator="greaterThanOrEqual" allowBlank="1" showInputMessage="1" showErrorMessage="1" sqref="O5:O21">
      <formula1>0</formula1>
    </dataValidation>
    <dataValidation operator="greaterThanOrEqual" allowBlank="1" showInputMessage="1" showErrorMessage="1" sqref="Q5:Q21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Answer!$H$2:$H$5</xm:f>
          </x14:formula1>
          <xm:sqref>J5:J21</xm:sqref>
        </x14:dataValidation>
        <x14:dataValidation type="list" showInputMessage="1" showErrorMessage="1">
          <x14:formula1>
            <xm:f>Answer!$J$2:$J$6</xm:f>
          </x14:formula1>
          <xm:sqref>D5:D21</xm:sqref>
        </x14:dataValidation>
        <x14:dataValidation type="list" showInputMessage="1" showErrorMessage="1">
          <x14:formula1>
            <xm:f>Answer!$I$2:$I$4</xm:f>
          </x14:formula1>
          <xm:sqref>G5:G21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7" sqref="H7"/>
    </sheetView>
  </sheetViews>
  <sheetFormatPr defaultRowHeight="14.5" x14ac:dyDescent="0.35"/>
  <cols>
    <col min="2" max="2" width="3.1796875" customWidth="1"/>
    <col min="3" max="3" width="32.1796875" bestFit="1" customWidth="1"/>
    <col min="4" max="4" width="4.54296875" customWidth="1"/>
    <col min="6" max="6" width="20" bestFit="1" customWidth="1"/>
    <col min="7" max="7" width="19.90625" bestFit="1" customWidth="1"/>
    <col min="8" max="8" width="22.1796875" bestFit="1" customWidth="1"/>
    <col min="9" max="9" width="32.26953125" bestFit="1" customWidth="1"/>
    <col min="10" max="10" width="36" bestFit="1" customWidth="1"/>
  </cols>
  <sheetData>
    <row r="1" spans="1:10" x14ac:dyDescent="0.35">
      <c r="A1" s="1" t="s">
        <v>101</v>
      </c>
      <c r="B1" s="1"/>
      <c r="C1" s="1" t="s">
        <v>102</v>
      </c>
      <c r="D1" s="1"/>
      <c r="E1" s="1" t="s">
        <v>103</v>
      </c>
      <c r="F1" s="1" t="s">
        <v>118</v>
      </c>
      <c r="G1" s="1" t="s">
        <v>157</v>
      </c>
      <c r="H1" s="167" t="s">
        <v>378</v>
      </c>
      <c r="I1" s="167" t="s">
        <v>382</v>
      </c>
      <c r="J1" s="167" t="s">
        <v>377</v>
      </c>
    </row>
    <row r="3" spans="1:10" ht="15" x14ac:dyDescent="0.25">
      <c r="A3" t="s">
        <v>94</v>
      </c>
      <c r="C3" t="s">
        <v>206</v>
      </c>
      <c r="E3" t="s">
        <v>104</v>
      </c>
      <c r="F3" t="s">
        <v>119</v>
      </c>
      <c r="G3" t="s">
        <v>162</v>
      </c>
      <c r="H3" t="s">
        <v>379</v>
      </c>
      <c r="I3" t="s">
        <v>384</v>
      </c>
      <c r="J3" t="s">
        <v>373</v>
      </c>
    </row>
    <row r="4" spans="1:10" x14ac:dyDescent="0.35">
      <c r="C4" t="s">
        <v>100</v>
      </c>
      <c r="E4" t="s">
        <v>105</v>
      </c>
      <c r="F4" t="s">
        <v>120</v>
      </c>
      <c r="G4" t="s">
        <v>158</v>
      </c>
      <c r="H4" t="s">
        <v>380</v>
      </c>
      <c r="I4" t="s">
        <v>383</v>
      </c>
      <c r="J4" t="s">
        <v>374</v>
      </c>
    </row>
    <row r="5" spans="1:10" x14ac:dyDescent="0.35">
      <c r="C5" t="s">
        <v>152</v>
      </c>
      <c r="E5" t="s">
        <v>106</v>
      </c>
      <c r="F5" t="s">
        <v>121</v>
      </c>
      <c r="G5" t="s">
        <v>159</v>
      </c>
      <c r="H5" t="s">
        <v>381</v>
      </c>
      <c r="J5" s="166" t="s">
        <v>375</v>
      </c>
    </row>
    <row r="6" spans="1:10" x14ac:dyDescent="0.35">
      <c r="E6" t="s">
        <v>107</v>
      </c>
      <c r="F6" t="s">
        <v>151</v>
      </c>
      <c r="G6" t="s">
        <v>160</v>
      </c>
      <c r="J6" s="166" t="s">
        <v>376</v>
      </c>
    </row>
    <row r="7" spans="1:10" x14ac:dyDescent="0.35">
      <c r="E7" t="s">
        <v>108</v>
      </c>
      <c r="F7" t="s">
        <v>122</v>
      </c>
      <c r="G7" t="s">
        <v>161</v>
      </c>
    </row>
    <row r="8" spans="1:10" x14ac:dyDescent="0.35">
      <c r="E8" t="s">
        <v>109</v>
      </c>
      <c r="F8" t="s">
        <v>123</v>
      </c>
    </row>
    <row r="9" spans="1:10" ht="15" x14ac:dyDescent="0.25">
      <c r="E9" t="s">
        <v>110</v>
      </c>
      <c r="F9" t="s">
        <v>124</v>
      </c>
    </row>
    <row r="10" spans="1:10" x14ac:dyDescent="0.35">
      <c r="E10" t="s">
        <v>111</v>
      </c>
      <c r="F10" t="s">
        <v>125</v>
      </c>
    </row>
    <row r="11" spans="1:10" x14ac:dyDescent="0.35">
      <c r="F11" t="s">
        <v>126</v>
      </c>
    </row>
    <row r="12" spans="1:10" x14ac:dyDescent="0.35">
      <c r="F12" t="s">
        <v>150</v>
      </c>
    </row>
    <row r="13" spans="1:10" x14ac:dyDescent="0.35">
      <c r="F13" t="s">
        <v>127</v>
      </c>
    </row>
    <row r="14" spans="1:10" x14ac:dyDescent="0.35">
      <c r="F14" t="s">
        <v>128</v>
      </c>
    </row>
    <row r="15" spans="1:10" ht="15" x14ac:dyDescent="0.25">
      <c r="F15" t="s">
        <v>129</v>
      </c>
    </row>
    <row r="16" spans="1:10" x14ac:dyDescent="0.35">
      <c r="F16" t="s">
        <v>130</v>
      </c>
    </row>
    <row r="17" spans="6:6" x14ac:dyDescent="0.35">
      <c r="F17" t="s">
        <v>131</v>
      </c>
    </row>
    <row r="18" spans="6:6" x14ac:dyDescent="0.35">
      <c r="F18" t="s">
        <v>149</v>
      </c>
    </row>
    <row r="19" spans="6:6" x14ac:dyDescent="0.35">
      <c r="F19" t="s">
        <v>132</v>
      </c>
    </row>
    <row r="20" spans="6:6" x14ac:dyDescent="0.35">
      <c r="F20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TNUT order sheet - Feb 2026</vt:lpstr>
      <vt:lpstr>Colours</vt:lpstr>
      <vt:lpstr>Volumes</vt:lpstr>
      <vt:lpstr>Answer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RemiV</dc:creator>
  <cp:lastModifiedBy>Remi Vignals</cp:lastModifiedBy>
  <cp:lastPrinted>2025-01-20T12:52:57Z</cp:lastPrinted>
  <dcterms:created xsi:type="dcterms:W3CDTF">2016-10-24T09:51:03Z</dcterms:created>
  <dcterms:modified xsi:type="dcterms:W3CDTF">2026-02-04T15:55:02Z</dcterms:modified>
</cp:coreProperties>
</file>