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pectre\Desktop\ERSTE\VANREDNA SKUPSTINA IMPEX\"/>
    </mc:Choice>
  </mc:AlternateContent>
  <xr:revisionPtr revIDLastSave="0" documentId="8_{DC3C5C62-E0C9-4343-9EF1-6AB5F6E58D98}" xr6:coauthVersionLast="47" xr6:coauthVersionMax="47" xr10:uidLastSave="{00000000-0000-0000-0000-000000000000}"/>
  <bookViews>
    <workbookView xWindow="-108" yWindow="-108" windowWidth="23256" windowHeight="12456" tabRatio="776" activeTab="1" xr2:uid="{D68CEE1D-EABA-491E-A954-7397B472F59A}"/>
  </bookViews>
  <sheets>
    <sheet name="Note" sheetId="26" r:id="rId1"/>
    <sheet name="Overview" sheetId="32" r:id="rId2"/>
    <sheet name="Conso ERGO Group" sheetId="31" r:id="rId3"/>
  </sheets>
  <definedNames>
    <definedName name="__xlnm.Print_Area_10">#N/A</definedName>
    <definedName name="__xlnm.Print_Area_11">#REF!</definedName>
    <definedName name="__xlnm.Print_Area_8">#REF!</definedName>
    <definedName name="aaa">#REF!</definedName>
    <definedName name="account" localSheetId="2">#REF!</definedName>
    <definedName name="account">#REF!</definedName>
    <definedName name="Akur" localSheetId="2">#REF!</definedName>
    <definedName name="Akur">#REF!</definedName>
    <definedName name="AOP" localSheetId="2">#REF!</definedName>
    <definedName name="AOP">#REF!</definedName>
    <definedName name="bazazl" localSheetId="2">#REF!</definedName>
    <definedName name="bazazl">#REF!</definedName>
    <definedName name="Bazica" localSheetId="2">#REF!</definedName>
    <definedName name="Bazica">#REF!</definedName>
    <definedName name="blub" localSheetId="2">#REF!</definedName>
    <definedName name="blub">#REF!</definedName>
    <definedName name="BUDGET_Title" localSheetId="2">#REF!</definedName>
    <definedName name="BUDGET_Title">#REF!</definedName>
    <definedName name="ColumnTitle1" localSheetId="2">#REF!</definedName>
    <definedName name="ColumnTitle1">#REF!</definedName>
    <definedName name="COMPANY_NAME" localSheetId="2">#REF!</definedName>
    <definedName name="COMPANY_NAME">#REF!</definedName>
    <definedName name="CONNECTURE_BEZ_KP_U_2018.">#REF!</definedName>
    <definedName name="CONNECTURE_SA_KP_U_2018.">#REF!</definedName>
    <definedName name="def" localSheetId="2">#REF!</definedName>
    <definedName name="def">#REF!</definedName>
    <definedName name="defin" localSheetId="2">#REF!</definedName>
    <definedName name="defin">#REF!</definedName>
    <definedName name="Dobavljac_lista">OFFSET(#REF!,,,COUNTIF(#REF!,"?*"))</definedName>
    <definedName name="eee" localSheetId="2">#REF!</definedName>
    <definedName name="eee">#REF!</definedName>
    <definedName name="Egils" localSheetId="2">#REF!</definedName>
    <definedName name="Egils">#REF!</definedName>
    <definedName name="Excel_BuiltIn_Print_Area_3">#REF!</definedName>
    <definedName name="Excel_BuiltIn_Print_Area_3_1">#REF!</definedName>
    <definedName name="Excel_BuiltIn_Print_Area_4">#REF!</definedName>
    <definedName name="Excel_BuiltIn_Print_Area_4_1">#REF!</definedName>
    <definedName name="Excel_BuiltIn_Print_Area_5">#REF!</definedName>
    <definedName name="Excel_BuiltIn_Print_Area_5_1">#REF!</definedName>
    <definedName name="Excel_BuiltIn_Print_Area_6">#REF!</definedName>
    <definedName name="Excel_BuiltIn_Print_Area_6_1">#REF!</definedName>
    <definedName name="Excel_BuiltIn_Print_Area_7_1">#REF!</definedName>
    <definedName name="Garð" localSheetId="2">#REF!</definedName>
    <definedName name="Garð">#REF!</definedName>
    <definedName name="Godina" localSheetId="2">#REF!</definedName>
    <definedName name="Godina">#REF!</definedName>
    <definedName name="Hafn" localSheetId="2">#REF!</definedName>
    <definedName name="Hafn">#REF!</definedName>
    <definedName name="Hamra" localSheetId="2">#REF!</definedName>
    <definedName name="Hamra">#REF!</definedName>
    <definedName name="HP_CFG_Fontsize_px">#REF!</definedName>
    <definedName name="HP_RNG_Address_ChartRange">#REF!</definedName>
    <definedName name="Iðu" localSheetId="2">#REF!</definedName>
    <definedName name="Iðu">#REF!</definedName>
    <definedName name="IME">#REF!</definedName>
    <definedName name="JFLKAJDLFJLJDSK">#REF!</definedName>
    <definedName name="kamate2023">#REF!</definedName>
    <definedName name="konto" localSheetId="2">#REF!</definedName>
    <definedName name="konto">#REF!</definedName>
    <definedName name="Kringla" localSheetId="2">#REF!</definedName>
    <definedName name="Kringla">#REF!</definedName>
    <definedName name="Lág" localSheetId="2">#REF!</definedName>
    <definedName name="Lág">#REF!</definedName>
    <definedName name="lang" localSheetId="2">#REF!</definedName>
    <definedName name="lang">#REF!</definedName>
    <definedName name="Laug" localSheetId="2">#REF!</definedName>
    <definedName name="Laug">#REF!</definedName>
    <definedName name="mapa" localSheetId="2">#REF!</definedName>
    <definedName name="mapa">#REF!</definedName>
    <definedName name="maping" localSheetId="2">#REF!</definedName>
    <definedName name="maping">#REF!</definedName>
    <definedName name="Marija">#REF!</definedName>
    <definedName name="Mesto_troska">#REF!</definedName>
    <definedName name="mici" localSheetId="2">#REF!</definedName>
    <definedName name="mici">#REF!</definedName>
    <definedName name="micizlbs" localSheetId="2">#REF!</definedName>
    <definedName name="micizlbs">#REF!</definedName>
    <definedName name="milena" localSheetId="2">#REF!</definedName>
    <definedName name="milena">#REF!</definedName>
    <definedName name="mirazlbs" localSheetId="2">#REF!</definedName>
    <definedName name="mirazlbs">#REF!</definedName>
    <definedName name="Mos" localSheetId="2">#REF!</definedName>
    <definedName name="Mos">#REF!</definedName>
    <definedName name="Nes" localSheetId="2">#REF!</definedName>
    <definedName name="Nes">#REF!</definedName>
    <definedName name="NOVE_CONNECTURE_U_2018.">#REF!</definedName>
    <definedName name="novo">#REF!</definedName>
    <definedName name="Optimise2" localSheetId="2">#REF!</definedName>
    <definedName name="Optimise2">#REF!</definedName>
    <definedName name="Osnovica" localSheetId="2">#REF!</definedName>
    <definedName name="Osnovica">#REF!</definedName>
    <definedName name="Poreski">#REF!</definedName>
    <definedName name="Promet_AU">#REF!</definedName>
    <definedName name="Report_Version_3">"A1"</definedName>
    <definedName name="Report_Version_4">"A1"</definedName>
    <definedName name="Saldo" localSheetId="2">#REF!</definedName>
    <definedName name="Saldo">#REF!</definedName>
    <definedName name="Set" localSheetId="2">#REF!</definedName>
    <definedName name="Set">#REF!</definedName>
    <definedName name="Skeif" localSheetId="2">#REF!</definedName>
    <definedName name="Skeif">#REF!</definedName>
    <definedName name="Slicer_Act_Bdg">#N/A</definedName>
    <definedName name="Slicer_Act_Bdg1">#N/A</definedName>
    <definedName name="Slicer_Act_Bdg11">#N/A</definedName>
    <definedName name="Slicer_Godina">#N/A</definedName>
    <definedName name="Smári" localSheetId="2">#REF!</definedName>
    <definedName name="Smári">#REF!</definedName>
    <definedName name="Smið" localSheetId="2">#REF!</definedName>
    <definedName name="Smið">#REF!</definedName>
    <definedName name="Spöng" localSheetId="2">#REF!</definedName>
    <definedName name="Spöng">#REF!</definedName>
    <definedName name="staro">#REF!</definedName>
    <definedName name="Sum_of_VIII_2011">#REF!</definedName>
    <definedName name="Test">#REF!</definedName>
    <definedName name="Title1" localSheetId="2">#REF!</definedName>
    <definedName name="Title1">#REF!</definedName>
    <definedName name="Title2" localSheetId="2">#REF!</definedName>
    <definedName name="Title2">#REF!</definedName>
    <definedName name="Title3" localSheetId="2">#REF!</definedName>
    <definedName name="Title3">#REF!</definedName>
    <definedName name="Title4" localSheetId="2">#REF!</definedName>
    <definedName name="Title4">#REF!</definedName>
    <definedName name="vlk" localSheetId="2">#REF!</definedName>
    <definedName name="vlk">#REF!</definedName>
    <definedName name="vvv" localSheetId="2">#REF!</definedName>
    <definedName name="vvv">#REF!</definedName>
    <definedName name="zaklist" localSheetId="2">#REF!</definedName>
    <definedName name="zaklist">#REF!</definedName>
    <definedName name="zlist" localSheetId="2">#REF!</definedName>
    <definedName name="z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32" l="1"/>
  <c r="H10" i="32"/>
  <c r="G10" i="32"/>
  <c r="F10" i="32"/>
  <c r="E10" i="32"/>
  <c r="H19" i="31"/>
  <c r="F16" i="31"/>
  <c r="F19" i="31"/>
  <c r="N16" i="31"/>
  <c r="N19" i="31"/>
  <c r="L16" i="31"/>
  <c r="L19" i="31"/>
  <c r="J16" i="31"/>
  <c r="J19" i="31"/>
  <c r="L10" i="31" l="1"/>
  <c r="F10" i="31"/>
  <c r="D12" i="32" l="1"/>
  <c r="C12" i="32"/>
  <c r="D15" i="32"/>
  <c r="C15" i="32"/>
  <c r="D19" i="32"/>
  <c r="C19" i="32"/>
  <c r="I14" i="32"/>
  <c r="H14" i="32"/>
  <c r="G14" i="32"/>
  <c r="F14" i="32"/>
  <c r="E14" i="32"/>
  <c r="D14" i="32"/>
  <c r="C14" i="32"/>
  <c r="D11" i="32"/>
  <c r="C11" i="32"/>
  <c r="D9" i="32"/>
  <c r="C9" i="32"/>
  <c r="H7" i="32"/>
  <c r="G7" i="32"/>
  <c r="F7" i="32"/>
  <c r="E7" i="32"/>
  <c r="D7" i="32"/>
  <c r="I6" i="32"/>
  <c r="I7" i="32" s="1"/>
  <c r="H6" i="32"/>
  <c r="G6" i="32"/>
  <c r="F6" i="32"/>
  <c r="E6" i="32"/>
  <c r="D6" i="32"/>
  <c r="C6" i="32"/>
  <c r="D5" i="32"/>
  <c r="D4" i="32"/>
  <c r="C4" i="32"/>
  <c r="I3" i="32"/>
  <c r="H3" i="32"/>
  <c r="G3" i="32"/>
  <c r="F3" i="32"/>
  <c r="E3" i="32"/>
  <c r="D3" i="32"/>
  <c r="I2" i="32"/>
  <c r="H2" i="32"/>
  <c r="G2" i="32"/>
  <c r="F2" i="32"/>
  <c r="E2" i="32"/>
  <c r="D2" i="32"/>
  <c r="C2" i="32"/>
  <c r="N7" i="31"/>
  <c r="N9" i="31" s="1"/>
  <c r="L7" i="31"/>
  <c r="J10" i="31"/>
  <c r="J7" i="31"/>
  <c r="J9" i="31" s="1"/>
  <c r="H7" i="31"/>
  <c r="J3" i="31" s="1"/>
  <c r="F7" i="31"/>
  <c r="D3" i="31"/>
  <c r="N20" i="31"/>
  <c r="L20" i="31"/>
  <c r="J20" i="31"/>
  <c r="H20" i="31"/>
  <c r="F20" i="31"/>
  <c r="N10" i="31" l="1"/>
  <c r="N11" i="31" s="1"/>
  <c r="O22" i="31"/>
  <c r="O20" i="31"/>
  <c r="O19" i="31"/>
  <c r="O18" i="31"/>
  <c r="O17" i="31"/>
  <c r="O16" i="31"/>
  <c r="O9" i="31"/>
  <c r="O8" i="31"/>
  <c r="O25" i="31"/>
  <c r="O24" i="31"/>
  <c r="O7" i="31"/>
  <c r="N3" i="31"/>
  <c r="L9" i="31"/>
  <c r="L3" i="31"/>
  <c r="K24" i="31"/>
  <c r="J11" i="31"/>
  <c r="J13" i="31" s="1"/>
  <c r="H3" i="31"/>
  <c r="F9" i="31"/>
  <c r="F3" i="31"/>
  <c r="O12" i="31"/>
  <c r="O14" i="31"/>
  <c r="K7" i="31"/>
  <c r="K8" i="31"/>
  <c r="K9" i="31"/>
  <c r="K25" i="31"/>
  <c r="K10" i="31"/>
  <c r="K12" i="31"/>
  <c r="K14" i="31"/>
  <c r="K16" i="31"/>
  <c r="K17" i="31"/>
  <c r="K18" i="31"/>
  <c r="K19" i="31"/>
  <c r="K20" i="31"/>
  <c r="K22" i="31"/>
  <c r="O10" i="31" l="1"/>
  <c r="J15" i="31"/>
  <c r="G4" i="32"/>
  <c r="M10" i="31"/>
  <c r="M25" i="31"/>
  <c r="M9" i="31"/>
  <c r="M24" i="31"/>
  <c r="M8" i="31"/>
  <c r="M7" i="31"/>
  <c r="M19" i="31"/>
  <c r="M22" i="31"/>
  <c r="M18" i="31"/>
  <c r="M17" i="31"/>
  <c r="M16" i="31"/>
  <c r="M20" i="31"/>
  <c r="M14" i="31"/>
  <c r="M12" i="31"/>
  <c r="O11" i="31"/>
  <c r="N13" i="31"/>
  <c r="I4" i="32" s="1"/>
  <c r="K13" i="31"/>
  <c r="K11" i="31"/>
  <c r="G7" i="31"/>
  <c r="G20" i="31"/>
  <c r="G19" i="31"/>
  <c r="G18" i="31"/>
  <c r="G17" i="31"/>
  <c r="G16" i="31"/>
  <c r="F11" i="31"/>
  <c r="G14" i="31"/>
  <c r="G12" i="31"/>
  <c r="G9" i="31"/>
  <c r="G8" i="31"/>
  <c r="G25" i="31"/>
  <c r="G24" i="31"/>
  <c r="G22" i="31"/>
  <c r="J21" i="31" l="1"/>
  <c r="G9" i="32"/>
  <c r="K15" i="31"/>
  <c r="L11" i="31"/>
  <c r="O13" i="31"/>
  <c r="N15" i="31"/>
  <c r="I9" i="32" s="1"/>
  <c r="F13" i="31"/>
  <c r="E4" i="32" s="1"/>
  <c r="G11" i="31"/>
  <c r="J23" i="31" l="1"/>
  <c r="G12" i="32"/>
  <c r="G11" i="32"/>
  <c r="G19" i="32" s="1"/>
  <c r="K21" i="31"/>
  <c r="E5" i="32"/>
  <c r="L13" i="31"/>
  <c r="H4" i="32" s="1"/>
  <c r="M11" i="31"/>
  <c r="N21" i="31"/>
  <c r="O15" i="31"/>
  <c r="F15" i="31"/>
  <c r="E9" i="32" s="1"/>
  <c r="G13" i="31"/>
  <c r="I12" i="32" l="1"/>
  <c r="I11" i="32"/>
  <c r="I19" i="32" s="1"/>
  <c r="I5" i="32"/>
  <c r="H5" i="32"/>
  <c r="J26" i="31"/>
  <c r="K23" i="31"/>
  <c r="L15" i="31"/>
  <c r="H9" i="32" s="1"/>
  <c r="M13" i="31"/>
  <c r="O21" i="31"/>
  <c r="N23" i="31"/>
  <c r="F21" i="31"/>
  <c r="G15" i="31"/>
  <c r="G15" i="32" l="1"/>
  <c r="J27" i="31"/>
  <c r="K27" i="31" s="1"/>
  <c r="K26" i="31"/>
  <c r="E12" i="32"/>
  <c r="E11" i="32"/>
  <c r="E19" i="32" s="1"/>
  <c r="L21" i="31"/>
  <c r="M15" i="31"/>
  <c r="O23" i="31"/>
  <c r="N26" i="31"/>
  <c r="F23" i="31"/>
  <c r="G21" i="31"/>
  <c r="N27" i="31" l="1"/>
  <c r="O27" i="31" s="1"/>
  <c r="I15" i="32"/>
  <c r="H11" i="32"/>
  <c r="H19" i="32" s="1"/>
  <c r="H12" i="32"/>
  <c r="J28" i="31"/>
  <c r="K28" i="31" s="1"/>
  <c r="M21" i="31"/>
  <c r="L23" i="31"/>
  <c r="N28" i="31"/>
  <c r="O28" i="31" s="1"/>
  <c r="O26" i="31"/>
  <c r="G23" i="31"/>
  <c r="F26" i="31"/>
  <c r="F27" i="31" s="1"/>
  <c r="G27" i="31" l="1"/>
  <c r="E15" i="32"/>
  <c r="L26" i="31"/>
  <c r="M23" i="31"/>
  <c r="G26" i="31"/>
  <c r="F28" i="31"/>
  <c r="G28" i="31" s="1"/>
  <c r="H15" i="32" l="1"/>
  <c r="L27" i="31"/>
  <c r="M27" i="31" s="1"/>
  <c r="M26" i="31"/>
  <c r="L28" i="31" l="1"/>
  <c r="M28" i="31" s="1"/>
  <c r="G10" i="31" l="1"/>
  <c r="H9" i="31"/>
  <c r="I12" i="31" s="1"/>
  <c r="I19" i="31" l="1"/>
  <c r="I14" i="31"/>
  <c r="I7" i="31"/>
  <c r="I25" i="31"/>
  <c r="I24" i="31"/>
  <c r="I17" i="31"/>
  <c r="I22" i="31"/>
  <c r="I8" i="31"/>
  <c r="H10" i="31"/>
  <c r="I10" i="31" s="1"/>
  <c r="I16" i="31"/>
  <c r="I9" i="31"/>
  <c r="I20" i="31"/>
  <c r="I18" i="31"/>
  <c r="H11" i="31" l="1"/>
  <c r="I11" i="31" l="1"/>
  <c r="H13" i="31"/>
  <c r="F4" i="32" s="1"/>
  <c r="G5" i="32" l="1"/>
  <c r="F5" i="32"/>
  <c r="H15" i="31"/>
  <c r="F9" i="32" s="1"/>
  <c r="I13" i="31"/>
  <c r="H21" i="31" l="1"/>
  <c r="I15" i="31"/>
  <c r="F12" i="32" l="1"/>
  <c r="F11" i="32"/>
  <c r="F19" i="32" s="1"/>
  <c r="H23" i="31"/>
  <c r="I21" i="31"/>
  <c r="I23" i="31" l="1"/>
  <c r="H26" i="31"/>
  <c r="F15" i="32" l="1"/>
  <c r="H27" i="31"/>
  <c r="I27" i="31" s="1"/>
  <c r="I26" i="31"/>
  <c r="H28" i="31" l="1"/>
  <c r="I28" i="31" s="1"/>
</calcChain>
</file>

<file path=xl/sharedStrings.xml><?xml version="1.0" encoding="utf-8"?>
<sst xmlns="http://schemas.openxmlformats.org/spreadsheetml/2006/main" count="71" uniqueCount="55">
  <si>
    <t>EBITDA</t>
  </si>
  <si>
    <t>Depreciation</t>
  </si>
  <si>
    <t>EBIT</t>
  </si>
  <si>
    <t>PBT</t>
  </si>
  <si>
    <t>Other operating income</t>
  </si>
  <si>
    <t>Financial result</t>
  </si>
  <si>
    <t>BP 2027</t>
  </si>
  <si>
    <t>BP 2028</t>
  </si>
  <si>
    <t>BP 2029</t>
  </si>
  <si>
    <t>BP 2030</t>
  </si>
  <si>
    <t>t EUR</t>
  </si>
  <si>
    <t>Bilans uspeha</t>
  </si>
  <si>
    <t>AC 2024</t>
  </si>
  <si>
    <t>in tEUR</t>
  </si>
  <si>
    <t>%NTO</t>
  </si>
  <si>
    <t>Turnover deductions</t>
  </si>
  <si>
    <t>Net turnover</t>
  </si>
  <si>
    <t>COGS</t>
  </si>
  <si>
    <t>Net margin</t>
  </si>
  <si>
    <t>Cost of sales differences</t>
  </si>
  <si>
    <t>Gross margin</t>
  </si>
  <si>
    <t>Total income</t>
  </si>
  <si>
    <t>Personnel expenses</t>
  </si>
  <si>
    <t>Marketing and advertising</t>
  </si>
  <si>
    <t>Rental expenses</t>
  </si>
  <si>
    <t>Other operating expenses</t>
  </si>
  <si>
    <t>Total operating expenses</t>
  </si>
  <si>
    <t>Operative EBITDA</t>
  </si>
  <si>
    <t>Amortisation/Depreciation</t>
  </si>
  <si>
    <t>Non-operative result</t>
  </si>
  <si>
    <t>Income tax</t>
  </si>
  <si>
    <t>Profit after tax</t>
  </si>
  <si>
    <t xml:space="preserve">Valuta </t>
  </si>
  <si>
    <t>BU 2026</t>
  </si>
  <si>
    <t>Total turnover</t>
  </si>
  <si>
    <t>Izvestaji ne obuhvataju primenu IFRS 16 - troskovi zakupa prikazani kroz operativne troskove</t>
  </si>
  <si>
    <t>TREND</t>
  </si>
  <si>
    <t>% Growth in Turnover</t>
  </si>
  <si>
    <t>% Growth in margin</t>
  </si>
  <si>
    <t>Othe operating income</t>
  </si>
  <si>
    <t>% Growth in OOI</t>
  </si>
  <si>
    <t>Net Debt</t>
  </si>
  <si>
    <t>Total Revenue</t>
  </si>
  <si>
    <t>Total expenses</t>
  </si>
  <si>
    <t>CAPEX</t>
  </si>
  <si>
    <t>Turnover Growth</t>
  </si>
  <si>
    <t>NWC</t>
  </si>
  <si>
    <t>EQVITY</t>
  </si>
  <si>
    <t>NET DEBT</t>
  </si>
  <si>
    <t>Particulars (mil EUR)</t>
  </si>
  <si>
    <t>NET DEBT/EBITDA</t>
  </si>
  <si>
    <t>Fx 117,282</t>
  </si>
  <si>
    <t>AC 2025</t>
  </si>
  <si>
    <t>% EBITDA (Nto)</t>
  </si>
  <si>
    <t>LTP Kompanije - članice Ergo WBS Grupe Consolidovano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</si>
</sst>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0.0%"/>
    <numFmt numFmtId="167" formatCode="0.0000"/>
    <numFmt numFmtId="168" formatCode="0.0"/>
    <numFmt numFmtId="169" formatCode="#,##0.0_ ;\-#,##0.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sz val="14"/>
      <color theme="3" tint="-0.499984740745262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38"/>
      <scheme val="minor"/>
    </font>
    <font>
      <b/>
      <sz val="16"/>
      <name val="Calibri"/>
      <family val="2"/>
      <scheme val="minor"/>
    </font>
    <font>
      <b/>
      <sz val="12"/>
      <color rgb="FF002060"/>
      <name val="Daytona"/>
      <family val="2"/>
    </font>
    <font>
      <sz val="12"/>
      <color rgb="FF002060"/>
      <name val="Daytona"/>
      <family val="2"/>
    </font>
    <font>
      <sz val="12"/>
      <color theme="0" tint="-0.34998626667073579"/>
      <name val="Daytona"/>
      <family val="2"/>
    </font>
    <font>
      <i/>
      <sz val="10"/>
      <color rgb="FF002060"/>
      <name val="Daytona"/>
      <family val="2"/>
    </font>
    <font>
      <i/>
      <sz val="12"/>
      <color rgb="FF002060"/>
      <name val="Daytona"/>
      <family val="2"/>
    </font>
    <font>
      <b/>
      <i/>
      <sz val="12"/>
      <color rgb="FF002060"/>
      <name val="Daytona"/>
      <family val="2"/>
    </font>
    <font>
      <sz val="12"/>
      <color theme="1"/>
      <name val="Daytona"/>
      <family val="2"/>
    </font>
    <font>
      <sz val="12"/>
      <color rgb="FFFF0000"/>
      <name val="Daytona"/>
      <family val="2"/>
    </font>
    <font>
      <u/>
      <sz val="12"/>
      <color theme="2" tint="-0.499984740745262"/>
      <name val="Arial Narrow"/>
      <family val="2"/>
    </font>
    <font>
      <sz val="12"/>
      <color theme="2" tint="-0.499984740745262"/>
      <name val="Arial Narrow"/>
      <family val="2"/>
    </font>
    <font>
      <sz val="12"/>
      <color theme="1"/>
      <name val="Arial Narrow"/>
      <family val="2"/>
    </font>
    <font>
      <i/>
      <u/>
      <sz val="12"/>
      <color theme="2" tint="-0.499984740745262"/>
      <name val="Arial Narrow"/>
      <family val="2"/>
    </font>
    <font>
      <b/>
      <u/>
      <sz val="12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2306D2"/>
        <bgColor indexed="64"/>
      </patternFill>
    </fill>
    <fill>
      <patternFill patternType="solid">
        <fgColor rgb="FFFA3CF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medium">
        <color indexed="22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/>
      <bottom style="thick">
        <color theme="4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 style="medium">
        <color rgb="FF2306D2"/>
      </left>
      <right/>
      <top style="medium">
        <color rgb="FF2306D2"/>
      </top>
      <bottom style="medium">
        <color rgb="FF2306D2"/>
      </bottom>
      <diagonal/>
    </border>
    <border>
      <left/>
      <right/>
      <top style="medium">
        <color rgb="FF2306D2"/>
      </top>
      <bottom style="medium">
        <color rgb="FF2306D2"/>
      </bottom>
      <diagonal/>
    </border>
    <border>
      <left/>
      <right style="medium">
        <color rgb="FF2306D2"/>
      </right>
      <top style="medium">
        <color rgb="FF2306D2"/>
      </top>
      <bottom style="medium">
        <color rgb="FF2306D2"/>
      </bottom>
      <diagonal/>
    </border>
  </borders>
  <cellStyleXfs count="15">
    <xf numFmtId="0" fontId="0" fillId="0" borderId="0"/>
    <xf numFmtId="9" fontId="2" fillId="0" borderId="0" applyFont="0" applyFill="0" applyBorder="0" applyAlignment="0" applyProtection="0"/>
    <xf numFmtId="0" fontId="4" fillId="0" borderId="0"/>
    <xf numFmtId="0" fontId="5" fillId="0" borderId="0"/>
    <xf numFmtId="0" fontId="2" fillId="0" borderId="0"/>
    <xf numFmtId="0" fontId="3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/>
    <xf numFmtId="0" fontId="7" fillId="0" borderId="0"/>
    <xf numFmtId="0" fontId="15" fillId="0" borderId="0"/>
    <xf numFmtId="0" fontId="16" fillId="0" borderId="7" applyNumberFormat="0" applyFill="0" applyAlignment="0" applyProtection="0"/>
    <xf numFmtId="0" fontId="1" fillId="9" borderId="0" applyNumberFormat="0" applyBorder="0" applyAlignment="0" applyProtection="0"/>
    <xf numFmtId="0" fontId="4" fillId="0" borderId="0"/>
    <xf numFmtId="41" fontId="2" fillId="0" borderId="0" applyFont="0" applyFill="0" applyBorder="0" applyAlignment="0" applyProtection="0"/>
  </cellStyleXfs>
  <cellXfs count="81">
    <xf numFmtId="0" fontId="0" fillId="0" borderId="0" xfId="0"/>
    <xf numFmtId="167" fontId="8" fillId="2" borderId="0" xfId="2" applyNumberFormat="1" applyFont="1" applyFill="1"/>
    <xf numFmtId="167" fontId="9" fillId="2" borderId="0" xfId="2" applyNumberFormat="1" applyFont="1" applyFill="1"/>
    <xf numFmtId="167" fontId="9" fillId="2" borderId="3" xfId="2" applyNumberFormat="1" applyFont="1" applyFill="1" applyBorder="1"/>
    <xf numFmtId="167" fontId="10" fillId="2" borderId="3" xfId="2" applyNumberFormat="1" applyFont="1" applyFill="1" applyBorder="1"/>
    <xf numFmtId="0" fontId="10" fillId="2" borderId="1" xfId="2" applyFont="1" applyFill="1" applyBorder="1"/>
    <xf numFmtId="0" fontId="8" fillId="2" borderId="0" xfId="2" applyFont="1" applyFill="1"/>
    <xf numFmtId="167" fontId="10" fillId="2" borderId="0" xfId="2" applyNumberFormat="1" applyFont="1" applyFill="1"/>
    <xf numFmtId="0" fontId="11" fillId="2" borderId="0" xfId="2" applyFont="1" applyFill="1"/>
    <xf numFmtId="164" fontId="8" fillId="2" borderId="0" xfId="6" applyNumberFormat="1" applyFont="1" applyFill="1"/>
    <xf numFmtId="0" fontId="11" fillId="4" borderId="0" xfId="8" applyFont="1" applyFill="1" applyAlignment="1">
      <alignment horizontal="center"/>
    </xf>
    <xf numFmtId="0" fontId="10" fillId="2" borderId="4" xfId="2" applyFont="1" applyFill="1" applyBorder="1"/>
    <xf numFmtId="0" fontId="10" fillId="5" borderId="2" xfId="2" applyFont="1" applyFill="1" applyBorder="1"/>
    <xf numFmtId="0" fontId="9" fillId="2" borderId="0" xfId="2" applyFont="1" applyFill="1" applyAlignment="1">
      <alignment horizontal="left"/>
    </xf>
    <xf numFmtId="9" fontId="10" fillId="2" borderId="0" xfId="2" applyNumberFormat="1" applyFont="1" applyFill="1" applyAlignment="1">
      <alignment horizontal="right"/>
    </xf>
    <xf numFmtId="0" fontId="9" fillId="2" borderId="0" xfId="2" applyFont="1" applyFill="1" applyAlignment="1">
      <alignment horizontal="right"/>
    </xf>
    <xf numFmtId="0" fontId="11" fillId="0" borderId="0" xfId="2" applyFont="1"/>
    <xf numFmtId="164" fontId="11" fillId="2" borderId="0" xfId="2" applyNumberFormat="1" applyFont="1" applyFill="1"/>
    <xf numFmtId="164" fontId="11" fillId="4" borderId="0" xfId="2" applyNumberFormat="1" applyFont="1" applyFill="1"/>
    <xf numFmtId="0" fontId="14" fillId="0" borderId="0" xfId="9" applyFont="1"/>
    <xf numFmtId="0" fontId="10" fillId="0" borderId="0" xfId="2" applyFont="1"/>
    <xf numFmtId="164" fontId="10" fillId="2" borderId="0" xfId="2" applyNumberFormat="1" applyFont="1" applyFill="1"/>
    <xf numFmtId="164" fontId="11" fillId="2" borderId="5" xfId="2" applyNumberFormat="1" applyFont="1" applyFill="1" applyBorder="1"/>
    <xf numFmtId="0" fontId="8" fillId="0" borderId="0" xfId="9" applyFont="1"/>
    <xf numFmtId="164" fontId="11" fillId="0" borderId="0" xfId="9" applyNumberFormat="1" applyFont="1"/>
    <xf numFmtId="0" fontId="10" fillId="0" borderId="0" xfId="9" applyFont="1"/>
    <xf numFmtId="0" fontId="11" fillId="0" borderId="5" xfId="9" applyFont="1" applyBorder="1"/>
    <xf numFmtId="164" fontId="10" fillId="4" borderId="0" xfId="2" applyNumberFormat="1" applyFont="1" applyFill="1"/>
    <xf numFmtId="0" fontId="11" fillId="0" borderId="0" xfId="9" applyFont="1"/>
    <xf numFmtId="0" fontId="10" fillId="0" borderId="6" xfId="9" applyFont="1" applyBorder="1"/>
    <xf numFmtId="0" fontId="10" fillId="2" borderId="0" xfId="2" applyFont="1" applyFill="1"/>
    <xf numFmtId="0" fontId="9" fillId="2" borderId="0" xfId="2" applyFont="1" applyFill="1"/>
    <xf numFmtId="0" fontId="10" fillId="6" borderId="2" xfId="2" applyFont="1" applyFill="1" applyBorder="1"/>
    <xf numFmtId="0" fontId="12" fillId="7" borderId="2" xfId="2" applyFont="1" applyFill="1" applyBorder="1"/>
    <xf numFmtId="168" fontId="13" fillId="0" borderId="0" xfId="9" applyNumberFormat="1" applyFont="1"/>
    <xf numFmtId="168" fontId="9" fillId="2" borderId="0" xfId="2" applyNumberFormat="1" applyFont="1" applyFill="1"/>
    <xf numFmtId="168" fontId="9" fillId="2" borderId="0" xfId="2" applyNumberFormat="1" applyFont="1" applyFill="1" applyAlignment="1">
      <alignment horizontal="right"/>
    </xf>
    <xf numFmtId="168" fontId="13" fillId="2" borderId="0" xfId="2" applyNumberFormat="1" applyFont="1" applyFill="1"/>
    <xf numFmtId="168" fontId="9" fillId="0" borderId="0" xfId="2" applyNumberFormat="1" applyFont="1"/>
    <xf numFmtId="168" fontId="8" fillId="2" borderId="0" xfId="2" applyNumberFormat="1" applyFont="1" applyFill="1"/>
    <xf numFmtId="0" fontId="17" fillId="2" borderId="0" xfId="2" applyFont="1" applyFill="1"/>
    <xf numFmtId="0" fontId="19" fillId="3" borderId="0" xfId="0" applyFont="1" applyFill="1" applyAlignment="1">
      <alignment horizontal="left" vertical="center" indent="1"/>
    </xf>
    <xf numFmtId="169" fontId="19" fillId="8" borderId="0" xfId="12" applyNumberFormat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1" fillId="3" borderId="0" xfId="0" applyFont="1" applyFill="1" applyAlignment="1">
      <alignment horizontal="left" vertical="center" indent="1"/>
    </xf>
    <xf numFmtId="166" fontId="22" fillId="8" borderId="0" xfId="12" applyNumberFormat="1" applyFont="1" applyFill="1" applyBorder="1" applyAlignment="1">
      <alignment vertical="center"/>
    </xf>
    <xf numFmtId="0" fontId="22" fillId="3" borderId="0" xfId="0" applyFont="1" applyFill="1" applyAlignment="1">
      <alignment horizontal="left" vertical="center" indent="1"/>
    </xf>
    <xf numFmtId="0" fontId="18" fillId="3" borderId="8" xfId="0" applyFont="1" applyFill="1" applyBorder="1" applyAlignment="1">
      <alignment horizontal="left" vertical="center" indent="1"/>
    </xf>
    <xf numFmtId="169" fontId="19" fillId="8" borderId="9" xfId="12" applyNumberFormat="1" applyFont="1" applyFill="1" applyBorder="1" applyAlignment="1">
      <alignment vertical="center"/>
    </xf>
    <xf numFmtId="0" fontId="23" fillId="3" borderId="8" xfId="0" applyFont="1" applyFill="1" applyBorder="1" applyAlignment="1">
      <alignment horizontal="left" vertical="center" indent="1"/>
    </xf>
    <xf numFmtId="166" fontId="22" fillId="8" borderId="9" xfId="12" applyNumberFormat="1" applyFont="1" applyFill="1" applyBorder="1" applyAlignment="1">
      <alignment vertical="center"/>
    </xf>
    <xf numFmtId="0" fontId="23" fillId="3" borderId="0" xfId="0" applyFont="1" applyFill="1" applyAlignment="1">
      <alignment horizontal="left" vertical="center" indent="1"/>
    </xf>
    <xf numFmtId="0" fontId="24" fillId="0" borderId="0" xfId="12" applyFont="1" applyFill="1"/>
    <xf numFmtId="0" fontId="25" fillId="0" borderId="0" xfId="0" applyFont="1" applyAlignment="1">
      <alignment vertical="center"/>
    </xf>
    <xf numFmtId="169" fontId="20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0" fontId="18" fillId="4" borderId="10" xfId="11" applyFont="1" applyFill="1" applyBorder="1" applyAlignment="1">
      <alignment vertical="center"/>
    </xf>
    <xf numFmtId="0" fontId="18" fillId="0" borderId="10" xfId="11" applyFont="1" applyFill="1" applyBorder="1" applyAlignment="1">
      <alignment horizontal="center" vertical="center"/>
    </xf>
    <xf numFmtId="1" fontId="14" fillId="0" borderId="0" xfId="9" applyNumberFormat="1" applyFont="1"/>
    <xf numFmtId="1" fontId="8" fillId="0" borderId="0" xfId="9" applyNumberFormat="1" applyFont="1"/>
    <xf numFmtId="1" fontId="8" fillId="2" borderId="0" xfId="2" applyNumberFormat="1" applyFont="1" applyFill="1"/>
    <xf numFmtId="166" fontId="14" fillId="2" borderId="0" xfId="1" applyNumberFormat="1" applyFont="1" applyFill="1"/>
    <xf numFmtId="166" fontId="8" fillId="2" borderId="0" xfId="2" applyNumberFormat="1" applyFont="1" applyFill="1"/>
    <xf numFmtId="166" fontId="13" fillId="2" borderId="0" xfId="2" applyNumberFormat="1" applyFont="1" applyFill="1"/>
    <xf numFmtId="166" fontId="14" fillId="2" borderId="0" xfId="2" applyNumberFormat="1" applyFont="1" applyFill="1"/>
    <xf numFmtId="0" fontId="26" fillId="0" borderId="0" xfId="0" applyFont="1"/>
    <xf numFmtId="0" fontId="27" fillId="0" borderId="0" xfId="0" applyFont="1" applyAlignment="1">
      <alignment horizontal="left"/>
    </xf>
    <xf numFmtId="0" fontId="28" fillId="0" borderId="0" xfId="0" applyFont="1"/>
    <xf numFmtId="0" fontId="29" fillId="0" borderId="0" xfId="0" applyFont="1" applyAlignment="1">
      <alignment horizontal="right"/>
    </xf>
    <xf numFmtId="0" fontId="29" fillId="0" borderId="0" xfId="0" applyFont="1"/>
    <xf numFmtId="9" fontId="14" fillId="0" borderId="0" xfId="1" applyFont="1"/>
    <xf numFmtId="3" fontId="8" fillId="2" borderId="0" xfId="2" applyNumberFormat="1" applyFont="1" applyFill="1"/>
    <xf numFmtId="3" fontId="14" fillId="0" borderId="0" xfId="9" applyNumberFormat="1" applyFont="1"/>
    <xf numFmtId="0" fontId="12" fillId="6" borderId="2" xfId="2" applyFont="1" applyFill="1" applyBorder="1"/>
    <xf numFmtId="41" fontId="8" fillId="2" borderId="0" xfId="14" applyFont="1" applyFill="1"/>
    <xf numFmtId="41" fontId="9" fillId="2" borderId="0" xfId="14" applyFont="1" applyFill="1"/>
    <xf numFmtId="41" fontId="8" fillId="2" borderId="0" xfId="2" applyNumberFormat="1" applyFont="1" applyFill="1"/>
    <xf numFmtId="0" fontId="30" fillId="0" borderId="0" xfId="0" applyFont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</cellXfs>
  <cellStyles count="15">
    <cellStyle name="20% - Accent1" xfId="12" builtinId="30"/>
    <cellStyle name="Comma [0]" xfId="14" builtinId="6"/>
    <cellStyle name="Comma 2" xfId="7" xr:uid="{3F475A25-0D62-4401-A80F-14414C6DB805}"/>
    <cellStyle name="Heading 1" xfId="11" builtinId="16"/>
    <cellStyle name="Normal" xfId="0" builtinId="0"/>
    <cellStyle name="Normal - Style1" xfId="13" xr:uid="{7D7A63B7-4DB1-43CC-9494-E90DC04C5F4F}"/>
    <cellStyle name="Normal 2" xfId="2" xr:uid="{F841A319-31AF-4593-829F-1E085680B288}"/>
    <cellStyle name="Normal 2 2" xfId="10" xr:uid="{261F6FFD-3A85-4001-A49F-75A2A608E555}"/>
    <cellStyle name="Normal 3" xfId="3" xr:uid="{399E3177-3836-44EB-88C4-DC123F8B78FC}"/>
    <cellStyle name="Normal 3 2 3 2" xfId="4" xr:uid="{5AD0B49D-E7B4-4550-ACD9-A475C4E09BC8}"/>
    <cellStyle name="Normal 4" xfId="5" xr:uid="{DA56AB5C-D0BB-4248-861D-1D2F210DE2BD}"/>
    <cellStyle name="Percent" xfId="1" builtinId="5"/>
    <cellStyle name="Percent 2" xfId="6" xr:uid="{192A51C3-155B-4AA7-896D-1B4887C6EC40}"/>
    <cellStyle name="Standard_#DRKER" xfId="8" xr:uid="{D69CC50E-E243-46CD-89FC-86BD57CCFFFB}"/>
    <cellStyle name="Standard_VRHH" xfId="9" xr:uid="{C417DD20-DE1E-437C-8839-360C0D84CED7}"/>
  </cellStyles>
  <dxfs count="30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Daytona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 tint="-0.34998626667073579"/>
        <name val="Daytona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aytona"/>
        <family val="2"/>
        <scheme val="none"/>
      </font>
      <numFmt numFmtId="170" formatCode="#,##0_ ;\-#,##0\ 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2060"/>
        <name val="Daytona"/>
        <family val="2"/>
        <scheme val="none"/>
      </font>
      <numFmt numFmtId="169" formatCode="#,##0.0_ ;\-#,##0.0\ 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aytona"/>
        <family val="2"/>
        <scheme val="none"/>
      </font>
      <numFmt numFmtId="170" formatCode="#,##0_ ;\-#,##0\ 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2060"/>
        <name val="Daytona"/>
        <family val="2"/>
        <scheme val="none"/>
      </font>
      <numFmt numFmtId="169" formatCode="#,##0.0_ ;\-#,##0.0\ 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aytona"/>
        <family val="2"/>
        <scheme val="none"/>
      </font>
      <numFmt numFmtId="170" formatCode="#,##0_ ;\-#,##0\ 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2060"/>
        <name val="Daytona"/>
        <family val="2"/>
        <scheme val="none"/>
      </font>
      <numFmt numFmtId="169" formatCode="#,##0.0_ ;\-#,##0.0\ 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aytona"/>
        <family val="2"/>
        <scheme val="none"/>
      </font>
      <numFmt numFmtId="170" formatCode="#,##0_ ;\-#,##0\ 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2060"/>
        <name val="Daytona"/>
        <family val="2"/>
        <scheme val="none"/>
      </font>
      <numFmt numFmtId="169" formatCode="#,##0.0_ ;\-#,##0.0\ 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aytona"/>
        <family val="2"/>
        <scheme val="none"/>
      </font>
      <numFmt numFmtId="170" formatCode="#,##0_ ;\-#,##0\ 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Daytona"/>
        <family val="2"/>
        <scheme val="none"/>
      </font>
      <numFmt numFmtId="169" formatCode="#,##0.0_ ;\-#,##0.0\ 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auto="1"/>
        <name val="Daytona"/>
        <family val="2"/>
        <scheme val="none"/>
      </font>
      <numFmt numFmtId="169" formatCode="#,##0.0_ ;\-#,##0.0\ 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002060"/>
        <name val="Daytona"/>
        <family val="2"/>
        <scheme val="none"/>
      </font>
      <numFmt numFmtId="169" formatCode="#,##0.0_ ;\-#,##0.0\ 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aytona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Daytona"/>
        <family val="2"/>
        <scheme val="none"/>
      </font>
      <numFmt numFmtId="169" formatCode="#,##0.0_ ;\-#,##0.0\ 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aytona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rgb="FF002060"/>
        <name val="Daytona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Calibri"/>
        <scheme val="minor"/>
      </font>
      <numFmt numFmtId="171" formatCode="&quot;$&quot;#,##0.00_);\(&quot;$&quot;#,##0.00\)"/>
      <fill>
        <patternFill patternType="none">
          <fgColor indexed="64"/>
          <bgColor indexed="65"/>
        </patternFill>
      </fill>
    </dxf>
    <dxf>
      <border outline="0">
        <top style="thin">
          <color theme="0" tint="-4.9989318521683403E-2"/>
        </top>
      </border>
    </dxf>
    <dxf>
      <font>
        <strike val="0"/>
        <outline val="0"/>
        <shadow val="0"/>
        <u val="none"/>
        <vertAlign val="baseline"/>
        <sz val="12"/>
        <color rgb="FF002060"/>
        <name val="Daytona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Dayto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color theme="6"/>
      </font>
      <fill>
        <patternFill patternType="none">
          <bgColor auto="1"/>
        </patternFill>
      </fill>
      <border>
        <top style="medium">
          <color theme="6"/>
        </top>
        <bottom/>
      </border>
    </dxf>
    <dxf>
      <font>
        <b/>
        <i val="0"/>
        <color theme="1" tint="0.499984740745262"/>
      </font>
      <border>
        <top style="medium">
          <color theme="6"/>
        </top>
        <bottom style="medium">
          <color theme="6"/>
        </bottom>
      </border>
    </dxf>
    <dxf>
      <font>
        <b/>
        <i val="0"/>
        <color theme="0"/>
      </font>
      <fill>
        <patternFill>
          <bgColor theme="6"/>
        </patternFill>
      </fill>
      <border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/>
        <i val="0"/>
        <color theme="6"/>
      </font>
      <border>
        <left/>
        <right/>
        <top style="medium">
          <color theme="6"/>
        </top>
        <bottom/>
        <vertical style="thick">
          <color theme="0"/>
        </vertical>
        <horizontal/>
      </border>
    </dxf>
    <dxf>
      <font>
        <b val="0"/>
        <i val="0"/>
        <color theme="1" tint="0.499984740745262"/>
      </font>
      <fill>
        <patternFill patternType="none">
          <fgColor indexed="64"/>
          <bgColor auto="1"/>
        </patternFill>
      </fill>
      <border>
        <top style="medium">
          <color theme="6"/>
        </top>
        <bottom style="thin">
          <color theme="6"/>
        </bottom>
        <vertical style="thick">
          <color theme="0"/>
        </vertical>
      </border>
    </dxf>
    <dxf>
      <font>
        <b val="0"/>
        <i val="0"/>
        <color theme="0" tint="-0.34998626667073579"/>
      </font>
      <border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</dxfs>
  <tableStyles count="1" defaultTableStyle="TableStyleMedium2" defaultPivotStyle="PivotStyleLight16">
    <tableStyle name="Family Budget Cash Available 3" pivot="0" count="6" xr9:uid="{563312F0-B67F-4E78-A7AF-99E995355974}">
      <tableStyleElement type="wholeTable" dxfId="29"/>
      <tableStyleElement type="headerRow" dxfId="28"/>
      <tableStyleElement type="totalRow" dxfId="27"/>
      <tableStyleElement type="firstColumn" dxfId="26"/>
      <tableStyleElement type="firstHeaderCell" dxfId="25"/>
      <tableStyleElement type="firstTotalCell" dxfId="24"/>
    </tableStyle>
  </tableStyles>
  <colors>
    <mruColors>
      <color rgb="FF2306D2"/>
      <color rgb="FFFF3399"/>
      <color rgb="FFFFFFCC"/>
      <color rgb="FFFA3CFA"/>
      <color rgb="FFFF6600"/>
      <color rgb="FFEAA3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045027-C4F1-47AC-8E35-F9E2BE468144}" name="Tabela_troškova2" displayName="Tabela_troškova2" ref="B1:J10" totalsRowShown="0" headerRowDxfId="23" dataDxfId="21" totalsRowDxfId="19" headerRowBorderDxfId="22" tableBorderDxfId="20" headerRowCellStyle="Heading 1" dataCellStyle="20% - Accent1">
  <tableColumns count="9">
    <tableColumn id="1" xr3:uid="{F34CF8A6-4428-439F-ACDD-1174218FA321}" name="Particulars (mil EUR)" dataDxfId="18" totalsRowDxfId="17"/>
    <tableColumn id="7" xr3:uid="{EA95B436-113A-4943-A2A8-4EF53E58CD65}" name="AC 2024" dataDxfId="16" totalsRowDxfId="15" dataCellStyle="20% - Accent1"/>
    <tableColumn id="6" xr3:uid="{6FF654B7-4D60-4168-B433-237E7CB9C66C}" name="AC 2025" dataDxfId="14" totalsRowDxfId="13" dataCellStyle="20% - Accent1"/>
    <tableColumn id="9" xr3:uid="{DEE10D08-10DF-4AA5-A9F5-36EB42D9265C}" name="BU 2026" dataDxfId="12" totalsRowDxfId="11" dataCellStyle="20% - Accent1"/>
    <tableColumn id="2" xr3:uid="{9378DD5E-ACAF-4F19-ADB9-54BED33098CF}" name="BP 2027" dataDxfId="10" totalsRowDxfId="9" dataCellStyle="20% - Accent1"/>
    <tableColumn id="3" xr3:uid="{E0FE6F2F-DD63-478B-8993-DDFE6B50588F}" name="BP 2028" dataDxfId="8" totalsRowDxfId="7" dataCellStyle="20% - Accent1"/>
    <tableColumn id="4" xr3:uid="{83923AC9-20E7-4ADB-BCF5-5BBC02A859E3}" name="BP 2029" dataDxfId="6" totalsRowDxfId="5" dataCellStyle="20% - Accent1"/>
    <tableColumn id="5" xr3:uid="{83B054BC-D625-41A7-9801-22E344FCF818}" name="BP 2030" dataDxfId="4" totalsRowDxfId="3" dataCellStyle="20% - Accent1"/>
    <tableColumn id="15" xr3:uid="{DF50EC8F-4168-46A1-847C-199491FCA655}" name="TREND" dataDxfId="2" totalsRowDxfId="1"/>
  </tableColumns>
  <tableStyleInfo name="Family Budget Cash Available 3" showFirstColumn="1" showLastColumn="0" showRowStripes="1" showColumnStripes="0"/>
  <extLst>
    <ext xmlns:x14="http://schemas.microsoft.com/office/spreadsheetml/2009/9/main" uri="{504A1905-F514-4f6f-8877-14C23A59335A}">
      <x14:table altText="Mesečni troškovi" altTextSummary="Rezime troškova za svaki kalendarski mesec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765D2-D8EA-4EBA-B399-A34571347FC4}">
  <sheetPr codeName="Sheet1"/>
  <dimension ref="A2:O8"/>
  <sheetViews>
    <sheetView workbookViewId="0">
      <selection activeCell="B2" sqref="B2"/>
    </sheetView>
  </sheetViews>
  <sheetFormatPr defaultRowHeight="15.6" x14ac:dyDescent="0.3"/>
  <cols>
    <col min="1" max="1" width="15" style="67" bestFit="1" customWidth="1"/>
    <col min="2" max="2" width="70.109375" style="67" bestFit="1" customWidth="1"/>
    <col min="6" max="6" width="25.5546875" customWidth="1"/>
  </cols>
  <sheetData>
    <row r="2" spans="1:15" x14ac:dyDescent="0.3">
      <c r="A2" s="68" t="s">
        <v>32</v>
      </c>
      <c r="B2" s="69" t="s">
        <v>10</v>
      </c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x14ac:dyDescent="0.3">
      <c r="A3" s="65"/>
      <c r="B3" s="66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 x14ac:dyDescent="0.3">
      <c r="B4" s="77" t="s">
        <v>54</v>
      </c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5" x14ac:dyDescent="0.3"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5" x14ac:dyDescent="0.3"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 x14ac:dyDescent="0.3">
      <c r="B7" s="67" t="s">
        <v>35</v>
      </c>
      <c r="F7" s="67"/>
    </row>
    <row r="8" spans="1:15" x14ac:dyDescent="0.3">
      <c r="B8" s="67" t="s">
        <v>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45902-F029-4570-A44C-061C66FAB3E7}">
  <sheetPr codeName="Sheet2">
    <tabColor rgb="FFFFFFCC"/>
  </sheetPr>
  <dimension ref="A1:L38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2" sqref="I2"/>
    </sheetView>
  </sheetViews>
  <sheetFormatPr defaultColWidth="8.88671875" defaultRowHeight="18" x14ac:dyDescent="0.3"/>
  <cols>
    <col min="1" max="1" width="1.44140625" style="43" customWidth="1"/>
    <col min="2" max="2" width="34.5546875" style="43" customWidth="1"/>
    <col min="3" max="3" width="14.109375" style="43" customWidth="1"/>
    <col min="4" max="4" width="14.88671875" style="43" customWidth="1"/>
    <col min="5" max="5" width="16.44140625" style="43" customWidth="1"/>
    <col min="6" max="7" width="15.33203125" style="43" customWidth="1"/>
    <col min="8" max="8" width="15.109375" style="43" customWidth="1"/>
    <col min="9" max="9" width="14.6640625" style="43" customWidth="1"/>
    <col min="10" max="10" width="14.44140625" style="43" customWidth="1"/>
    <col min="11" max="16384" width="8.88671875" style="43"/>
  </cols>
  <sheetData>
    <row r="1" spans="1:10" x14ac:dyDescent="0.45">
      <c r="A1" s="52"/>
      <c r="B1" s="56" t="s">
        <v>49</v>
      </c>
      <c r="C1" s="57" t="s">
        <v>12</v>
      </c>
      <c r="D1" s="57" t="s">
        <v>52</v>
      </c>
      <c r="E1" s="57" t="s">
        <v>33</v>
      </c>
      <c r="F1" s="57" t="s">
        <v>6</v>
      </c>
      <c r="G1" s="57" t="s">
        <v>7</v>
      </c>
      <c r="H1" s="57" t="s">
        <v>8</v>
      </c>
      <c r="I1" s="57" t="s">
        <v>9</v>
      </c>
      <c r="J1" s="57" t="s">
        <v>36</v>
      </c>
    </row>
    <row r="2" spans="1:10" x14ac:dyDescent="0.45">
      <c r="A2" s="52"/>
      <c r="B2" s="41" t="s">
        <v>34</v>
      </c>
      <c r="C2" s="42">
        <f>+'Conso ERGO Group'!B7/1000</f>
        <v>223.96435892130083</v>
      </c>
      <c r="D2" s="42">
        <f>+'Conso ERGO Group'!D7/1000</f>
        <v>248.52748918191782</v>
      </c>
      <c r="E2" s="42">
        <f>+'Conso ERGO Group'!F7/1000</f>
        <v>255.98331385737535</v>
      </c>
      <c r="F2" s="42">
        <f>+'Conso ERGO Group'!H7/1000</f>
        <v>264.94272984238347</v>
      </c>
      <c r="G2" s="42">
        <f>+'Conso ERGO Group'!J7/1000</f>
        <v>275.54043903607879</v>
      </c>
      <c r="H2" s="42">
        <f>+'Conso ERGO Group'!L7/1000</f>
        <v>289.31746098788273</v>
      </c>
      <c r="I2" s="42">
        <f>+'Conso ERGO Group'!N7/1000</f>
        <v>303.78333403727692</v>
      </c>
    </row>
    <row r="3" spans="1:10" x14ac:dyDescent="0.45">
      <c r="A3" s="52"/>
      <c r="B3" s="44" t="s">
        <v>37</v>
      </c>
      <c r="C3" s="45">
        <v>3.2000000000000001E-2</v>
      </c>
      <c r="D3" s="45">
        <f t="shared" ref="D3:I3" si="0">+D2/C2-1</f>
        <v>0.10967428201041685</v>
      </c>
      <c r="E3" s="45">
        <f t="shared" si="0"/>
        <v>3.0000000000000027E-2</v>
      </c>
      <c r="F3" s="45">
        <f t="shared" si="0"/>
        <v>3.499999999999992E-2</v>
      </c>
      <c r="G3" s="45">
        <f t="shared" si="0"/>
        <v>4.0000000000000036E-2</v>
      </c>
      <c r="H3" s="45">
        <f t="shared" si="0"/>
        <v>5.0000000000000044E-2</v>
      </c>
      <c r="I3" s="45">
        <f t="shared" si="0"/>
        <v>5.0000000000000266E-2</v>
      </c>
    </row>
    <row r="4" spans="1:10" x14ac:dyDescent="0.45">
      <c r="A4" s="52"/>
      <c r="B4" s="46" t="s">
        <v>20</v>
      </c>
      <c r="C4" s="42">
        <f>+'Conso ERGO Group'!B13/1000</f>
        <v>18.091639906178862</v>
      </c>
      <c r="D4" s="42">
        <f>+'Conso ERGO Group'!D13/1000</f>
        <v>20.615322733133443</v>
      </c>
      <c r="E4" s="42">
        <f>+'Conso ERGO Group'!F13/1000</f>
        <v>21.57540888987042</v>
      </c>
      <c r="F4" s="42">
        <f>+'Conso ERGO Group'!H13/1000</f>
        <v>23.047487060700629</v>
      </c>
      <c r="G4" s="42">
        <f>+'Conso ERGO Group'!J13/1000</f>
        <v>23.96263683195901</v>
      </c>
      <c r="H4" s="42">
        <f>+'Conso ERGO Group'!L13/1000</f>
        <v>24.517260948666429</v>
      </c>
      <c r="I4" s="42">
        <f>+'Conso ERGO Group'!N13/1000</f>
        <v>25.454965641484655</v>
      </c>
    </row>
    <row r="5" spans="1:10" x14ac:dyDescent="0.45">
      <c r="A5" s="52"/>
      <c r="B5" s="44" t="s">
        <v>38</v>
      </c>
      <c r="C5" s="45">
        <v>0.153</v>
      </c>
      <c r="D5" s="45">
        <f t="shared" ref="D5:I5" si="1">+D4/C4-1</f>
        <v>0.13949442062975526</v>
      </c>
      <c r="E5" s="45">
        <f t="shared" si="1"/>
        <v>4.6571483219804533E-2</v>
      </c>
      <c r="F5" s="45">
        <f t="shared" si="1"/>
        <v>6.8229444843631359E-2</v>
      </c>
      <c r="G5" s="45">
        <f t="shared" si="1"/>
        <v>3.9707138953940291E-2</v>
      </c>
      <c r="H5" s="45">
        <f t="shared" si="1"/>
        <v>2.3145370878705496E-2</v>
      </c>
      <c r="I5" s="45">
        <f t="shared" si="1"/>
        <v>3.8246715029936151E-2</v>
      </c>
    </row>
    <row r="6" spans="1:10" x14ac:dyDescent="0.45">
      <c r="A6" s="52"/>
      <c r="B6" s="46" t="s">
        <v>39</v>
      </c>
      <c r="C6" s="42">
        <f>+'Conso ERGO Group'!B14/1000</f>
        <v>4.9891933741463417</v>
      </c>
      <c r="D6" s="42">
        <f>+'Conso ERGO Group'!D14/1000</f>
        <v>5.4482652538162961</v>
      </c>
      <c r="E6" s="42">
        <f>+'Conso ERGO Group'!F14/1000</f>
        <v>5.5298286900248872</v>
      </c>
      <c r="F6" s="42">
        <f>+'Conso ERGO Group'!H14/1000</f>
        <v>5.9848827765783099</v>
      </c>
      <c r="G6" s="42">
        <f>+'Conso ERGO Group'!J14/1000</f>
        <v>7.1394413605728255</v>
      </c>
      <c r="H6" s="42">
        <f>+'Conso ERGO Group'!L14/1000</f>
        <v>8.1976353227640146</v>
      </c>
      <c r="I6" s="42">
        <f>+'Conso ERGO Group'!N14/1000</f>
        <v>8.6178878762949012</v>
      </c>
    </row>
    <row r="7" spans="1:10" x14ac:dyDescent="0.45">
      <c r="A7" s="52"/>
      <c r="B7" s="44" t="s">
        <v>40</v>
      </c>
      <c r="C7" s="45">
        <v>0.1</v>
      </c>
      <c r="D7" s="45">
        <f t="shared" ref="D7:I7" si="2">+D6/C6-1</f>
        <v>9.2013246479648148E-2</v>
      </c>
      <c r="E7" s="45">
        <f t="shared" si="2"/>
        <v>1.4970533263126029E-2</v>
      </c>
      <c r="F7" s="45">
        <f t="shared" si="2"/>
        <v>8.2290810811966431E-2</v>
      </c>
      <c r="G7" s="45">
        <f t="shared" si="2"/>
        <v>0.19291248084471291</v>
      </c>
      <c r="H7" s="45">
        <f t="shared" si="2"/>
        <v>0.14821803398162325</v>
      </c>
      <c r="I7" s="45">
        <f t="shared" si="2"/>
        <v>5.1265094991953086E-2</v>
      </c>
    </row>
    <row r="8" spans="1:10" hidden="1" x14ac:dyDescent="0.45">
      <c r="A8" s="52"/>
      <c r="B8" s="41" t="s">
        <v>41</v>
      </c>
      <c r="C8" s="42"/>
      <c r="D8" s="42">
        <v>148.3677739141454</v>
      </c>
      <c r="E8" s="42">
        <v>16.144054916652436</v>
      </c>
      <c r="F8" s="42">
        <v>19.183916937662755</v>
      </c>
      <c r="G8" s="42">
        <v>18.11761311795183</v>
      </c>
      <c r="H8" s="42">
        <v>16.040058302003416</v>
      </c>
      <c r="I8" s="42">
        <v>12.210579476007863</v>
      </c>
    </row>
    <row r="9" spans="1:10" x14ac:dyDescent="0.45">
      <c r="A9" s="52"/>
      <c r="B9" s="41" t="s">
        <v>42</v>
      </c>
      <c r="C9" s="42">
        <f>+'Conso ERGO Group'!B15/1000</f>
        <v>23.080833280325205</v>
      </c>
      <c r="D9" s="42">
        <f>+'Conso ERGO Group'!D15/1000</f>
        <v>26.063587986949742</v>
      </c>
      <c r="E9" s="42">
        <f>+'Conso ERGO Group'!F15/1000</f>
        <v>27.105237579895306</v>
      </c>
      <c r="F9" s="42">
        <f>+'Conso ERGO Group'!H15/1000</f>
        <v>29.032369837278939</v>
      </c>
      <c r="G9" s="42">
        <f>+'Conso ERGO Group'!J15/1000</f>
        <v>31.102078192531838</v>
      </c>
      <c r="H9" s="42">
        <f>+'Conso ERGO Group'!L15/1000</f>
        <v>32.71489627143044</v>
      </c>
      <c r="I9" s="42">
        <f>+'Conso ERGO Group'!N15/1000</f>
        <v>34.072853517779556</v>
      </c>
    </row>
    <row r="10" spans="1:10" ht="18.600000000000001" thickBot="1" x14ac:dyDescent="0.35">
      <c r="B10" s="41" t="s">
        <v>43</v>
      </c>
      <c r="C10" s="42">
        <v>17.652650989314719</v>
      </c>
      <c r="D10" s="42">
        <v>19.591273595231563</v>
      </c>
      <c r="E10" s="42">
        <f>-'Conso ERGO Group'!F20/1000</f>
        <v>20.412216068332082</v>
      </c>
      <c r="F10" s="42">
        <f>-'Conso ERGO Group'!H20/1000</f>
        <v>22.333293494459244</v>
      </c>
      <c r="G10" s="42">
        <f>-'Conso ERGO Group'!J20/1000</f>
        <v>24.031838965540331</v>
      </c>
      <c r="H10" s="42">
        <f>-'Conso ERGO Group'!L20/1000</f>
        <v>25.057513008407355</v>
      </c>
      <c r="I10" s="42">
        <f>-'Conso ERGO Group'!N20/1000</f>
        <v>26.252036885900406</v>
      </c>
    </row>
    <row r="11" spans="1:10" ht="19.2" thickTop="1" thickBot="1" x14ac:dyDescent="0.5">
      <c r="A11" s="52"/>
      <c r="B11" s="47" t="s">
        <v>0</v>
      </c>
      <c r="C11" s="48">
        <f>+'Conso ERGO Group'!B21/1000</f>
        <v>5.4281822910104847</v>
      </c>
      <c r="D11" s="48">
        <f>+'Conso ERGO Group'!D21/1000</f>
        <v>6.4723143917181751</v>
      </c>
      <c r="E11" s="48">
        <f>+'Conso ERGO Group'!F21/1000</f>
        <v>6.6930215115632237</v>
      </c>
      <c r="F11" s="48">
        <f>+'Conso ERGO Group'!H21/1000</f>
        <v>6.6990763428196951</v>
      </c>
      <c r="G11" s="48">
        <f>+'Conso ERGO Group'!J21/1000</f>
        <v>7.0702392269915073</v>
      </c>
      <c r="H11" s="48">
        <f>+'Conso ERGO Group'!L21/1000</f>
        <v>7.6573832630230898</v>
      </c>
      <c r="I11" s="48">
        <f>+'Conso ERGO Group'!N21/1000</f>
        <v>7.8208166318791514</v>
      </c>
    </row>
    <row r="12" spans="1:10" ht="19.2" thickTop="1" thickBot="1" x14ac:dyDescent="0.5">
      <c r="A12" s="52"/>
      <c r="B12" s="49" t="s">
        <v>53</v>
      </c>
      <c r="C12" s="50">
        <f>+'Conso ERGO Group'!B21/'Conso ERGO Group'!B9</f>
        <v>2.5551549887715255E-2</v>
      </c>
      <c r="D12" s="50">
        <f>+'Conso ERGO Group'!D21/'Conso ERGO Group'!D9</f>
        <v>2.7392368368453605E-2</v>
      </c>
      <c r="E12" s="50">
        <f>+'Conso ERGO Group'!F21/'Conso ERGO Group'!F9</f>
        <v>2.7718585505359945E-2</v>
      </c>
      <c r="F12" s="50">
        <f>+'Conso ERGO Group'!H21/'Conso ERGO Group'!H9</f>
        <v>2.6848205116552368E-2</v>
      </c>
      <c r="G12" s="50">
        <f>+'Conso ERGO Group'!J21/'Conso ERGO Group'!J9</f>
        <v>2.7241821181436077E-2</v>
      </c>
      <c r="H12" s="50">
        <f>+'Conso ERGO Group'!L21/'Conso ERGO Group'!L9</f>
        <v>2.8177433231616447E-2</v>
      </c>
      <c r="I12" s="50">
        <f>+'Conso ERGO Group'!N21/'Conso ERGO Group'!N9</f>
        <v>2.7386082172550463E-2</v>
      </c>
    </row>
    <row r="13" spans="1:10" ht="19.2" thickTop="1" thickBot="1" x14ac:dyDescent="0.5">
      <c r="A13" s="52"/>
      <c r="B13" s="51" t="s">
        <v>44</v>
      </c>
      <c r="C13" s="48">
        <v>2.375</v>
      </c>
      <c r="D13" s="48">
        <v>2.1647900601626016</v>
      </c>
      <c r="E13" s="48">
        <v>5.5650000000000004</v>
      </c>
      <c r="F13" s="48">
        <v>4.26</v>
      </c>
      <c r="G13" s="48">
        <v>1.82</v>
      </c>
      <c r="H13" s="48">
        <v>1.6180000000000001</v>
      </c>
      <c r="I13" s="48">
        <v>1.59</v>
      </c>
    </row>
    <row r="14" spans="1:10" ht="19.2" thickTop="1" thickBot="1" x14ac:dyDescent="0.35">
      <c r="B14" s="47" t="s">
        <v>1</v>
      </c>
      <c r="C14" s="48">
        <f>-'Conso ERGO Group'!B22/1000</f>
        <v>1.3497680687314357</v>
      </c>
      <c r="D14" s="48">
        <f>-'Conso ERGO Group'!D22/1000</f>
        <v>1.6271228455615896</v>
      </c>
      <c r="E14" s="48">
        <f>-'Conso ERGO Group'!F22/1000</f>
        <v>1.7130165027999327</v>
      </c>
      <c r="F14" s="48">
        <f>-'Conso ERGO Group'!H22/1000</f>
        <v>1.9886485599854751</v>
      </c>
      <c r="G14" s="48">
        <f>-'Conso ERGO Group'!J22/1000</f>
        <v>2.5734133959944834</v>
      </c>
      <c r="H14" s="48">
        <f>-'Conso ERGO Group'!L22/1000</f>
        <v>2.5678017632940744</v>
      </c>
      <c r="I14" s="48">
        <f>-'Conso ERGO Group'!N22/1000</f>
        <v>2.5340229162691754</v>
      </c>
    </row>
    <row r="15" spans="1:10" ht="19.2" thickTop="1" thickBot="1" x14ac:dyDescent="0.5">
      <c r="A15" s="52"/>
      <c r="B15" s="49" t="s">
        <v>3</v>
      </c>
      <c r="C15" s="48">
        <f>+'Conso ERGO Group'!B26/1000</f>
        <v>1.8243979544393782</v>
      </c>
      <c r="D15" s="48">
        <f>+'Conso ERGO Group'!D26/1000</f>
        <v>2.1948168830879204</v>
      </c>
      <c r="E15" s="48">
        <f>+'Conso ERGO Group'!F26/1000</f>
        <v>2.3690809780203361</v>
      </c>
      <c r="F15" s="48">
        <f>+'Conso ERGO Group'!H26/1000</f>
        <v>2.1482589520912652</v>
      </c>
      <c r="G15" s="48">
        <f>+'Conso ERGO Group'!J26/1000</f>
        <v>1.7570913349970243</v>
      </c>
      <c r="H15" s="48">
        <f>+'Conso ERGO Group'!L26/1000</f>
        <v>2.4375923138090152</v>
      </c>
      <c r="I15" s="48">
        <f>+'Conso ERGO Group'!N26/1000</f>
        <v>2.6135447459715762</v>
      </c>
    </row>
    <row r="16" spans="1:10" ht="19.2" thickTop="1" thickBot="1" x14ac:dyDescent="0.5">
      <c r="A16" s="52"/>
      <c r="B16" s="51" t="s">
        <v>47</v>
      </c>
      <c r="C16" s="48">
        <v>17.731682185889568</v>
      </c>
      <c r="D16" s="48">
        <v>17.979307132409879</v>
      </c>
      <c r="E16" s="48">
        <v>19.993307132409878</v>
      </c>
      <c r="F16" s="48">
        <v>21.819307132409879</v>
      </c>
      <c r="G16" s="48">
        <v>23.313307132409879</v>
      </c>
      <c r="H16" s="48">
        <v>25.385307132409878</v>
      </c>
      <c r="I16" s="48">
        <v>27.607307132409879</v>
      </c>
    </row>
    <row r="17" spans="1:12" ht="19.2" thickTop="1" thickBot="1" x14ac:dyDescent="0.35">
      <c r="B17" s="47" t="s">
        <v>46</v>
      </c>
      <c r="C17" s="48">
        <v>13.28428411705319</v>
      </c>
      <c r="D17" s="48">
        <v>13.206636164103067</v>
      </c>
      <c r="E17" s="48">
        <v>13.436520954594686</v>
      </c>
      <c r="F17" s="48">
        <v>14.5</v>
      </c>
      <c r="G17" s="48">
        <v>15.8</v>
      </c>
      <c r="H17" s="48">
        <v>16.8</v>
      </c>
      <c r="I17" s="48">
        <v>18.899999999999999</v>
      </c>
    </row>
    <row r="18" spans="1:12" ht="19.2" thickTop="1" thickBot="1" x14ac:dyDescent="0.5">
      <c r="A18" s="52"/>
      <c r="B18" s="49" t="s">
        <v>48</v>
      </c>
      <c r="C18" s="48">
        <v>15.403927733556415</v>
      </c>
      <c r="D18" s="48">
        <v>13.879117542574654</v>
      </c>
      <c r="E18" s="48">
        <v>19.119</v>
      </c>
      <c r="F18" s="48">
        <v>20.934000000000001</v>
      </c>
      <c r="G18" s="48">
        <v>19.266999999999999</v>
      </c>
      <c r="H18" s="48">
        <v>16.48</v>
      </c>
      <c r="I18" s="48">
        <v>13.882999999999999</v>
      </c>
    </row>
    <row r="19" spans="1:12" ht="19.2" thickTop="1" thickBot="1" x14ac:dyDescent="0.5">
      <c r="A19" s="52"/>
      <c r="B19" s="51" t="s">
        <v>50</v>
      </c>
      <c r="C19" s="48">
        <f>+C18/C11</f>
        <v>2.8377690555946478</v>
      </c>
      <c r="D19" s="48">
        <f t="shared" ref="D19:I19" si="3">+D18/D11</f>
        <v>2.1443824731898151</v>
      </c>
      <c r="E19" s="48">
        <f t="shared" si="3"/>
        <v>2.8565573809928728</v>
      </c>
      <c r="F19" s="48">
        <f t="shared" si="3"/>
        <v>3.1249084095657151</v>
      </c>
      <c r="G19" s="48">
        <f t="shared" si="3"/>
        <v>2.7250845949378713</v>
      </c>
      <c r="H19" s="48">
        <f t="shared" si="3"/>
        <v>2.1521712357771934</v>
      </c>
      <c r="I19" s="48">
        <f t="shared" si="3"/>
        <v>1.7751343182513988</v>
      </c>
      <c r="L19" s="53"/>
    </row>
    <row r="20" spans="1:12" ht="19.2" thickTop="1" thickBot="1" x14ac:dyDescent="0.35">
      <c r="C20" s="54"/>
      <c r="D20" s="54"/>
      <c r="E20" s="54"/>
      <c r="F20" s="54"/>
      <c r="G20" s="54"/>
      <c r="H20" s="54"/>
      <c r="I20" s="54"/>
    </row>
    <row r="21" spans="1:12" ht="18.600000000000001" thickBot="1" x14ac:dyDescent="0.35">
      <c r="B21" s="78"/>
      <c r="C21" s="79"/>
      <c r="D21" s="79"/>
      <c r="E21" s="79"/>
      <c r="F21" s="79"/>
      <c r="G21" s="79"/>
      <c r="H21" s="79"/>
      <c r="I21" s="79"/>
      <c r="J21" s="80"/>
    </row>
    <row r="22" spans="1:12" x14ac:dyDescent="0.3">
      <c r="E22" s="54"/>
    </row>
    <row r="29" spans="1:12" x14ac:dyDescent="0.3">
      <c r="E29" s="55"/>
      <c r="F29" s="55"/>
      <c r="G29" s="55"/>
      <c r="H29" s="55"/>
      <c r="I29" s="55"/>
    </row>
    <row r="30" spans="1:12" x14ac:dyDescent="0.3">
      <c r="E30" s="55"/>
      <c r="F30" s="55"/>
      <c r="G30" s="55"/>
      <c r="H30" s="55"/>
      <c r="I30" s="55"/>
    </row>
    <row r="31" spans="1:12" x14ac:dyDescent="0.3">
      <c r="E31" s="55"/>
      <c r="F31" s="55"/>
      <c r="G31" s="55"/>
      <c r="H31" s="55"/>
      <c r="I31" s="55"/>
    </row>
    <row r="33" spans="5:9" x14ac:dyDescent="0.3">
      <c r="E33" s="55"/>
      <c r="F33" s="55"/>
      <c r="G33" s="55"/>
      <c r="H33" s="55"/>
      <c r="I33" s="55"/>
    </row>
    <row r="35" spans="5:9" x14ac:dyDescent="0.3">
      <c r="E35" s="55"/>
      <c r="F35" s="55"/>
      <c r="G35" s="55"/>
      <c r="H35" s="55"/>
      <c r="I35" s="55"/>
    </row>
    <row r="36" spans="5:9" x14ac:dyDescent="0.3">
      <c r="E36" s="55"/>
      <c r="F36" s="55"/>
      <c r="G36" s="55"/>
      <c r="H36" s="55"/>
      <c r="I36" s="55"/>
    </row>
    <row r="37" spans="5:9" x14ac:dyDescent="0.3">
      <c r="E37" s="55"/>
      <c r="F37" s="55"/>
      <c r="G37" s="55"/>
      <c r="H37" s="55"/>
      <c r="I37" s="55"/>
    </row>
    <row r="38" spans="5:9" x14ac:dyDescent="0.3">
      <c r="E38" s="55"/>
      <c r="F38" s="55"/>
      <c r="G38" s="55"/>
      <c r="H38" s="55"/>
      <c r="I38" s="55"/>
    </row>
  </sheetData>
  <mergeCells count="1">
    <mergeCell ref="B21:J21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markers="1" high="1" low="1" displayHidden="1" xr2:uid="{84ED373F-3479-48D4-87E7-C5D2CB8E68E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Overview!F2:I2</xm:f>
              <xm:sqref>J2</xm:sqref>
            </x14:sparkline>
          </x14:sparklines>
        </x14:sparklineGroup>
        <x14:sparklineGroup displayEmptyCellsAs="span" markers="1" high="1" low="1" displayHidden="1" xr2:uid="{ECB8FAC5-2170-4211-9167-478483773E1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Overview!F4:I4</xm:f>
              <xm:sqref>J4</xm:sqref>
            </x14:sparkline>
            <x14:sparkline>
              <xm:f>Overview!F6:I6</xm:f>
              <xm:sqref>J6</xm:sqref>
            </x14:sparkline>
            <x14:sparkline>
              <xm:f>Overview!F8:I8</xm:f>
              <xm:sqref>J8</xm:sqref>
            </x14:sparkline>
            <x14:sparkline>
              <xm:f>Overview!F9:I9</xm:f>
              <xm:sqref>J9</xm:sqref>
            </x14:sparkline>
            <x14:sparkline>
              <xm:f>Overview!F10:I10</xm:f>
              <xm:sqref>J10</xm:sqref>
            </x14:sparkline>
          </x14:sparklines>
        </x14:sparklineGroup>
        <x14:sparklineGroup displayEmptyCellsAs="span" markers="1" high="1" low="1" displayHidden="1" xr2:uid="{2BB76241-7531-4471-82DE-57E5786CDE8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Overview!F11:I11</xm:f>
              <xm:sqref>J11</xm:sqref>
            </x14:sparkline>
            <x14:sparkline>
              <xm:f>Overview!F12:I12</xm:f>
              <xm:sqref>J12</xm:sqref>
            </x14:sparkline>
            <x14:sparkline>
              <xm:f>Overview!F13:I13</xm:f>
              <xm:sqref>J13</xm:sqref>
            </x14:sparkline>
            <x14:sparkline>
              <xm:f>Overview!F14:I14</xm:f>
              <xm:sqref>J14</xm:sqref>
            </x14:sparkline>
            <x14:sparkline>
              <xm:f>Overview!F15:I15</xm:f>
              <xm:sqref>J15</xm:sqref>
            </x14:sparkline>
            <x14:sparkline>
              <xm:f>Overview!F16:I16</xm:f>
              <xm:sqref>J16</xm:sqref>
            </x14:sparkline>
            <x14:sparkline>
              <xm:f>Overview!F17:I17</xm:f>
              <xm:sqref>J17</xm:sqref>
            </x14:sparkline>
            <x14:sparkline>
              <xm:f>Overview!F18:I18</xm:f>
              <xm:sqref>J18</xm:sqref>
            </x14:sparkline>
            <x14:sparkline>
              <xm:f>Overview!F19:I19</xm:f>
              <xm:sqref>J19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6DC0-2539-4F05-8EF4-494A31D8BF87}">
  <sheetPr codeName="Sheet3">
    <tabColor rgb="FF2306D2"/>
  </sheetPr>
  <dimension ref="A1:AC35"/>
  <sheetViews>
    <sheetView showGridLines="0"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7" sqref="N7"/>
    </sheetView>
  </sheetViews>
  <sheetFormatPr defaultColWidth="11.44140625" defaultRowHeight="18" x14ac:dyDescent="0.35"/>
  <cols>
    <col min="1" max="1" width="51.88671875" style="30" bestFit="1" customWidth="1"/>
    <col min="2" max="2" width="13.109375" style="6" bestFit="1" customWidth="1"/>
    <col min="3" max="3" width="8.109375" style="6" bestFit="1" customWidth="1"/>
    <col min="4" max="4" width="14.5546875" style="6" bestFit="1" customWidth="1"/>
    <col min="5" max="5" width="8.109375" style="6" bestFit="1" customWidth="1"/>
    <col min="6" max="6" width="16.88671875" style="31" bestFit="1" customWidth="1"/>
    <col min="7" max="7" width="8.109375" style="31" bestFit="1" customWidth="1"/>
    <col min="8" max="8" width="17.109375" style="30" bestFit="1" customWidth="1"/>
    <col min="9" max="9" width="8.109375" style="31" bestFit="1" customWidth="1"/>
    <col min="10" max="10" width="14.5546875" style="6" bestFit="1" customWidth="1"/>
    <col min="11" max="11" width="8.109375" style="6" bestFit="1" customWidth="1"/>
    <col min="12" max="12" width="14.5546875" style="6" bestFit="1" customWidth="1"/>
    <col min="13" max="13" width="8.109375" style="6" bestFit="1" customWidth="1"/>
    <col min="14" max="14" width="14.5546875" style="6" bestFit="1" customWidth="1"/>
    <col min="15" max="15" width="10.33203125" style="6" customWidth="1"/>
    <col min="16" max="16" width="11.44140625" style="6"/>
    <col min="17" max="24" width="16" style="6" customWidth="1"/>
    <col min="25" max="16384" width="11.44140625" style="6"/>
  </cols>
  <sheetData>
    <row r="1" spans="1:29" s="1" customFormat="1" x14ac:dyDescent="0.35">
      <c r="F1" s="2"/>
      <c r="G1" s="3"/>
      <c r="H1" s="4"/>
      <c r="I1" s="3"/>
    </row>
    <row r="2" spans="1:29" ht="3.75" customHeight="1" x14ac:dyDescent="0.35">
      <c r="A2" s="5"/>
      <c r="E2" s="7"/>
      <c r="F2" s="2"/>
      <c r="G2" s="2"/>
      <c r="H2" s="7"/>
      <c r="I2" s="2"/>
    </row>
    <row r="3" spans="1:29" ht="25.5" customHeight="1" x14ac:dyDescent="0.4">
      <c r="A3" s="40" t="s">
        <v>45</v>
      </c>
      <c r="B3" s="9"/>
      <c r="D3" s="61">
        <f>+D7/B7-1</f>
        <v>0.10967428201041685</v>
      </c>
      <c r="E3" s="62"/>
      <c r="F3" s="61">
        <f>+F7/D7-1</f>
        <v>3.0000000000000027E-2</v>
      </c>
      <c r="G3" s="63"/>
      <c r="H3" s="61">
        <f>+H7/F7-1</f>
        <v>3.499999999999992E-2</v>
      </c>
      <c r="I3" s="63"/>
      <c r="J3" s="61">
        <f>+J7/H7-1</f>
        <v>4.0000000000000036E-2</v>
      </c>
      <c r="K3" s="64"/>
      <c r="L3" s="61">
        <f>+L7/J7-1</f>
        <v>5.0000000000000044E-2</v>
      </c>
      <c r="M3" s="64"/>
      <c r="N3" s="61">
        <f>+N7/L7-1</f>
        <v>5.0000000000000044E-2</v>
      </c>
    </row>
    <row r="4" spans="1:29" x14ac:dyDescent="0.35">
      <c r="A4" s="8" t="s">
        <v>11</v>
      </c>
      <c r="B4" s="10" t="s">
        <v>12</v>
      </c>
      <c r="C4" s="10"/>
      <c r="D4" s="10" t="s">
        <v>52</v>
      </c>
      <c r="E4" s="10"/>
      <c r="F4" s="10" t="s">
        <v>33</v>
      </c>
      <c r="G4" s="10"/>
      <c r="H4" s="10" t="s">
        <v>6</v>
      </c>
      <c r="I4" s="10"/>
      <c r="J4" s="10" t="s">
        <v>7</v>
      </c>
      <c r="K4" s="10"/>
      <c r="L4" s="10" t="s">
        <v>8</v>
      </c>
      <c r="M4" s="10"/>
      <c r="N4" s="10" t="s">
        <v>9</v>
      </c>
      <c r="O4" s="10"/>
    </row>
    <row r="5" spans="1:29" ht="3.75" customHeight="1" x14ac:dyDescent="0.35">
      <c r="A5" s="11"/>
      <c r="B5" s="12"/>
      <c r="C5" s="32"/>
      <c r="D5" s="73"/>
      <c r="E5" s="7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29" ht="22.5" customHeight="1" x14ac:dyDescent="0.35">
      <c r="A6" s="13" t="s">
        <v>13</v>
      </c>
      <c r="B6" s="14"/>
      <c r="C6" s="15" t="s">
        <v>14</v>
      </c>
      <c r="D6" s="14"/>
      <c r="E6" s="15" t="s">
        <v>14</v>
      </c>
      <c r="F6" s="14"/>
      <c r="G6" s="15" t="s">
        <v>14</v>
      </c>
      <c r="H6" s="14"/>
      <c r="I6" s="15" t="s">
        <v>14</v>
      </c>
      <c r="J6" s="14"/>
      <c r="K6" s="15" t="s">
        <v>14</v>
      </c>
      <c r="L6" s="14"/>
      <c r="M6" s="15" t="s">
        <v>14</v>
      </c>
      <c r="N6" s="14"/>
      <c r="O6" s="15" t="s">
        <v>14</v>
      </c>
    </row>
    <row r="7" spans="1:29" s="19" customFormat="1" collapsed="1" x14ac:dyDescent="0.35">
      <c r="A7" s="16" t="s">
        <v>34</v>
      </c>
      <c r="B7" s="17">
        <v>223964.35892130082</v>
      </c>
      <c r="C7" s="34">
        <v>105.42454514699955</v>
      </c>
      <c r="D7" s="18">
        <v>248527.4891819178</v>
      </c>
      <c r="E7" s="34">
        <v>105.18272323218739</v>
      </c>
      <c r="F7" s="18">
        <f>+D7*1.03</f>
        <v>255983.31385737535</v>
      </c>
      <c r="G7" s="34">
        <f>+F7/$F$9*100</f>
        <v>106.01333584304922</v>
      </c>
      <c r="H7" s="17">
        <f>+F7*1.035</f>
        <v>264942.72984238347</v>
      </c>
      <c r="I7" s="34">
        <f>+H7/$H$9*100</f>
        <v>106.18235098293584</v>
      </c>
      <c r="J7" s="17">
        <f>+H7*1.04</f>
        <v>275540.43903607881</v>
      </c>
      <c r="K7" s="34">
        <f>+J7/$J$9*100</f>
        <v>106.16646944306096</v>
      </c>
      <c r="L7" s="17">
        <f>+J7*1.05</f>
        <v>289317.46098788275</v>
      </c>
      <c r="M7" s="34">
        <f>+L7/$L$9*100</f>
        <v>106.4622621032085</v>
      </c>
      <c r="N7" s="17">
        <f>+L7*1.05</f>
        <v>303783.33403727692</v>
      </c>
      <c r="O7" s="34">
        <f>+N7/$N$9*100</f>
        <v>106.37553263535926</v>
      </c>
      <c r="P7" s="70"/>
      <c r="Q7" s="70"/>
      <c r="R7" s="72"/>
      <c r="S7" s="58"/>
      <c r="T7" s="58"/>
      <c r="U7" s="58"/>
      <c r="V7" s="58"/>
      <c r="W7" s="58"/>
      <c r="X7" s="58"/>
      <c r="Z7" s="58"/>
      <c r="AB7" s="58"/>
    </row>
    <row r="8" spans="1:29" s="19" customFormat="1" ht="18.600000000000001" collapsed="1" thickBot="1" x14ac:dyDescent="0.4">
      <c r="A8" s="20" t="s">
        <v>15</v>
      </c>
      <c r="B8" s="21">
        <v>-11523.927132845529</v>
      </c>
      <c r="C8" s="34">
        <v>-5.4245451469995443</v>
      </c>
      <c r="D8" s="21">
        <v>-12245.824717591686</v>
      </c>
      <c r="E8" s="34">
        <v>-5.1827232321873895</v>
      </c>
      <c r="F8" s="21">
        <v>-14520</v>
      </c>
      <c r="G8" s="34">
        <f t="shared" ref="G8:G28" si="0">+F8/$F$9*100</f>
        <v>-6.0133358430492256</v>
      </c>
      <c r="H8" s="21">
        <v>-15426</v>
      </c>
      <c r="I8" s="34">
        <f t="shared" ref="I8:I28" si="1">+H8/$H$9*100</f>
        <v>-6.1823509829358567</v>
      </c>
      <c r="J8" s="21">
        <v>-16004.2215452483</v>
      </c>
      <c r="K8" s="34">
        <f t="shared" ref="K8:K28" si="2">+J8/$J$9*100</f>
        <v>-6.1664694430609606</v>
      </c>
      <c r="L8" s="21">
        <v>-17561.577473583999</v>
      </c>
      <c r="M8" s="34">
        <f t="shared" ref="M8:M28" si="3">+L8/$L$9*100</f>
        <v>-6.4622621032085128</v>
      </c>
      <c r="N8" s="21">
        <v>-18207.011633698901</v>
      </c>
      <c r="O8" s="34">
        <f t="shared" ref="O8:O28" si="4">+N8/$N$9*100</f>
        <v>-6.3755326353592618</v>
      </c>
      <c r="P8" s="70"/>
      <c r="Q8" s="58"/>
      <c r="R8" s="72"/>
      <c r="S8" s="58"/>
      <c r="T8" s="58"/>
      <c r="U8" s="58"/>
      <c r="V8" s="58"/>
      <c r="W8" s="58"/>
      <c r="X8" s="58"/>
      <c r="Z8" s="58"/>
      <c r="AB8" s="58"/>
    </row>
    <row r="9" spans="1:29" s="23" customFormat="1" x14ac:dyDescent="0.35">
      <c r="A9" s="16" t="s">
        <v>16</v>
      </c>
      <c r="B9" s="22">
        <v>212440.43178845529</v>
      </c>
      <c r="C9" s="34">
        <v>100</v>
      </c>
      <c r="D9" s="22">
        <v>236281.66446432614</v>
      </c>
      <c r="E9" s="34">
        <v>100</v>
      </c>
      <c r="F9" s="22">
        <f>+F7+F8</f>
        <v>241463.31385737535</v>
      </c>
      <c r="G9" s="34">
        <f t="shared" si="0"/>
        <v>100</v>
      </c>
      <c r="H9" s="22">
        <f>+H7+H8</f>
        <v>249516.72984238347</v>
      </c>
      <c r="I9" s="34">
        <f t="shared" si="1"/>
        <v>100</v>
      </c>
      <c r="J9" s="22">
        <f>+J7+J8</f>
        <v>259536.21749083052</v>
      </c>
      <c r="K9" s="34">
        <f t="shared" si="2"/>
        <v>100</v>
      </c>
      <c r="L9" s="22">
        <f>+L7+L8</f>
        <v>271755.88351429877</v>
      </c>
      <c r="M9" s="34">
        <f t="shared" si="3"/>
        <v>100</v>
      </c>
      <c r="N9" s="22">
        <f>+N7+N8</f>
        <v>285576.32240357803</v>
      </c>
      <c r="O9" s="34">
        <f t="shared" si="4"/>
        <v>100</v>
      </c>
      <c r="P9" s="70"/>
      <c r="Q9" s="59"/>
      <c r="R9" s="72"/>
      <c r="S9" s="59"/>
      <c r="T9" s="59"/>
      <c r="U9" s="59"/>
      <c r="V9" s="59"/>
      <c r="W9" s="59"/>
      <c r="X9" s="59"/>
      <c r="Z9" s="59"/>
      <c r="AB9" s="59"/>
    </row>
    <row r="10" spans="1:29" s="23" customFormat="1" x14ac:dyDescent="0.35">
      <c r="A10" s="16" t="s">
        <v>17</v>
      </c>
      <c r="B10" s="17">
        <v>-201598.45952276423</v>
      </c>
      <c r="C10" s="34">
        <v>-94.896464776306175</v>
      </c>
      <c r="D10" s="17">
        <v>-222649.69723902456</v>
      </c>
      <c r="E10" s="34">
        <v>-94.230628408595905</v>
      </c>
      <c r="F10" s="17">
        <f>-F9*94.3%</f>
        <v>-227699.90496750493</v>
      </c>
      <c r="G10" s="34">
        <f t="shared" si="0"/>
        <v>-94.299999999999983</v>
      </c>
      <c r="H10" s="17">
        <f>-H9*94.1%</f>
        <v>-234795.24278168284</v>
      </c>
      <c r="I10" s="34">
        <f t="shared" si="1"/>
        <v>-94.1</v>
      </c>
      <c r="J10" s="17">
        <f>-J9*94.1%</f>
        <v>-244223.58065887151</v>
      </c>
      <c r="K10" s="34">
        <f t="shared" si="2"/>
        <v>-94.1</v>
      </c>
      <c r="L10" s="17">
        <f>-L9*94.29%</f>
        <v>-256238.62256563234</v>
      </c>
      <c r="M10" s="34">
        <f t="shared" si="3"/>
        <v>-94.29</v>
      </c>
      <c r="N10" s="17">
        <f>-N9*94.28%</f>
        <v>-269241.35676209338</v>
      </c>
      <c r="O10" s="34">
        <f t="shared" si="4"/>
        <v>-94.28</v>
      </c>
      <c r="P10" s="70"/>
      <c r="Q10" s="59"/>
      <c r="R10" s="72"/>
      <c r="S10" s="59"/>
      <c r="T10" s="59"/>
      <c r="U10" s="59"/>
      <c r="V10" s="59"/>
      <c r="W10" s="59"/>
      <c r="X10" s="59"/>
      <c r="Z10" s="59"/>
      <c r="AB10" s="59"/>
    </row>
    <row r="11" spans="1:29" s="23" customFormat="1" ht="18" customHeight="1" x14ac:dyDescent="0.35">
      <c r="A11" s="16" t="s">
        <v>18</v>
      </c>
      <c r="B11" s="24">
        <v>10841.972265691058</v>
      </c>
      <c r="C11" s="34">
        <v>5.1035352236938198</v>
      </c>
      <c r="D11" s="24">
        <v>13631.967225301543</v>
      </c>
      <c r="E11" s="34">
        <v>5.7693715914040808</v>
      </c>
      <c r="F11" s="24">
        <f>+F9+F10</f>
        <v>13763.408889870421</v>
      </c>
      <c r="G11" s="34">
        <f t="shared" si="0"/>
        <v>5.7000000000000108</v>
      </c>
      <c r="H11" s="24">
        <f>+H9+H10</f>
        <v>14721.487060700631</v>
      </c>
      <c r="I11" s="34">
        <f t="shared" si="1"/>
        <v>5.9000000000000021</v>
      </c>
      <c r="J11" s="24">
        <f>+J9+J10</f>
        <v>15312.636831959011</v>
      </c>
      <c r="K11" s="34">
        <f t="shared" si="2"/>
        <v>5.9000000000000039</v>
      </c>
      <c r="L11" s="24">
        <f>+L9+L10</f>
        <v>15517.26094866643</v>
      </c>
      <c r="M11" s="34">
        <f t="shared" si="3"/>
        <v>5.7099999999999884</v>
      </c>
      <c r="N11" s="24">
        <f>+N9+N10</f>
        <v>16334.965641484654</v>
      </c>
      <c r="O11" s="34">
        <f t="shared" si="4"/>
        <v>5.7199999999999962</v>
      </c>
      <c r="P11" s="70"/>
      <c r="Q11" s="59"/>
      <c r="R11" s="72"/>
      <c r="S11" s="59"/>
      <c r="T11" s="59"/>
      <c r="U11" s="59"/>
      <c r="V11" s="59"/>
      <c r="W11" s="59"/>
      <c r="X11" s="59"/>
      <c r="Z11" s="59"/>
      <c r="AB11" s="59"/>
    </row>
    <row r="12" spans="1:29" ht="18.600000000000001" collapsed="1" thickBot="1" x14ac:dyDescent="0.4">
      <c r="A12" s="25" t="s">
        <v>19</v>
      </c>
      <c r="B12" s="21">
        <v>7249.6676404878053</v>
      </c>
      <c r="C12" s="35">
        <v>3.4125649150002229</v>
      </c>
      <c r="D12" s="21">
        <v>6983.3555078318977</v>
      </c>
      <c r="E12" s="35">
        <v>2.9555215482605703</v>
      </c>
      <c r="F12" s="21">
        <v>7812</v>
      </c>
      <c r="G12" s="35">
        <f t="shared" si="0"/>
        <v>3.23527407754136</v>
      </c>
      <c r="H12" s="21">
        <v>8326</v>
      </c>
      <c r="I12" s="35">
        <f t="shared" si="1"/>
        <v>3.3368504008766982</v>
      </c>
      <c r="J12" s="21">
        <v>8650</v>
      </c>
      <c r="K12" s="35">
        <f t="shared" si="2"/>
        <v>3.3328681767913979</v>
      </c>
      <c r="L12" s="21">
        <v>9000</v>
      </c>
      <c r="M12" s="35">
        <f t="shared" si="3"/>
        <v>3.3117958233741254</v>
      </c>
      <c r="N12" s="21">
        <v>9120</v>
      </c>
      <c r="O12" s="35">
        <f t="shared" si="4"/>
        <v>3.1935420707293676</v>
      </c>
      <c r="P12" s="70"/>
      <c r="Q12" s="60"/>
      <c r="R12" s="72"/>
      <c r="S12" s="60"/>
      <c r="T12" s="60"/>
      <c r="U12" s="60"/>
      <c r="V12" s="60"/>
      <c r="W12" s="60"/>
      <c r="X12" s="60"/>
      <c r="Z12" s="60"/>
      <c r="AB12" s="60"/>
    </row>
    <row r="13" spans="1:29" x14ac:dyDescent="0.35">
      <c r="A13" s="26" t="s">
        <v>20</v>
      </c>
      <c r="B13" s="22">
        <v>18091.639906178862</v>
      </c>
      <c r="C13" s="37">
        <v>8.5161001386940409</v>
      </c>
      <c r="D13" s="22">
        <v>20615.322733133442</v>
      </c>
      <c r="E13" s="37">
        <v>8.7248931396646512</v>
      </c>
      <c r="F13" s="22">
        <f>+F11+F12</f>
        <v>21575.408889870421</v>
      </c>
      <c r="G13" s="37">
        <f t="shared" si="0"/>
        <v>8.9352740775413704</v>
      </c>
      <c r="H13" s="22">
        <f>+H11+H12</f>
        <v>23047.487060700631</v>
      </c>
      <c r="I13" s="37">
        <f t="shared" si="1"/>
        <v>9.2368504008767012</v>
      </c>
      <c r="J13" s="22">
        <f>+J11+J12</f>
        <v>23962.636831959011</v>
      </c>
      <c r="K13" s="37">
        <f t="shared" si="2"/>
        <v>9.2328681767914027</v>
      </c>
      <c r="L13" s="22">
        <f>+L11+L12</f>
        <v>24517.26094866643</v>
      </c>
      <c r="M13" s="37">
        <f t="shared" si="3"/>
        <v>9.0217958233741147</v>
      </c>
      <c r="N13" s="22">
        <f>+N11+N12</f>
        <v>25454.965641484654</v>
      </c>
      <c r="O13" s="37">
        <f t="shared" si="4"/>
        <v>8.9135420707293651</v>
      </c>
      <c r="P13" s="70"/>
      <c r="Q13" s="60"/>
      <c r="R13" s="72"/>
      <c r="S13" s="60"/>
      <c r="T13" s="60"/>
      <c r="U13" s="60"/>
      <c r="V13" s="60"/>
      <c r="W13" s="60"/>
      <c r="X13" s="60"/>
      <c r="Z13" s="60"/>
      <c r="AB13" s="60"/>
    </row>
    <row r="14" spans="1:29" ht="18.600000000000001" collapsed="1" thickBot="1" x14ac:dyDescent="0.4">
      <c r="A14" s="25" t="s">
        <v>4</v>
      </c>
      <c r="B14" s="27">
        <v>4989.1933741463417</v>
      </c>
      <c r="C14" s="35">
        <v>2.3485140432751983</v>
      </c>
      <c r="D14" s="21">
        <v>5448.2652538162965</v>
      </c>
      <c r="E14" s="35">
        <v>2.3058349729201595</v>
      </c>
      <c r="F14" s="21">
        <v>5529.8286900248868</v>
      </c>
      <c r="G14" s="35">
        <f t="shared" si="0"/>
        <v>2.290132029452383</v>
      </c>
      <c r="H14" s="21">
        <v>5984.8827765783099</v>
      </c>
      <c r="I14" s="35">
        <f t="shared" si="1"/>
        <v>2.3985897780717482</v>
      </c>
      <c r="J14" s="21">
        <v>7139.4413605728259</v>
      </c>
      <c r="K14" s="35">
        <f t="shared" si="2"/>
        <v>2.750845885632538</v>
      </c>
      <c r="L14" s="21">
        <v>8197.6353227640138</v>
      </c>
      <c r="M14" s="35">
        <f t="shared" si="3"/>
        <v>3.016543824830451</v>
      </c>
      <c r="N14" s="21">
        <v>8617.8878762949007</v>
      </c>
      <c r="O14" s="35">
        <f t="shared" si="4"/>
        <v>3.0177179269491585</v>
      </c>
      <c r="P14" s="70"/>
      <c r="Q14" s="60"/>
      <c r="R14" s="72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</row>
    <row r="15" spans="1:29" x14ac:dyDescent="0.35">
      <c r="A15" s="26" t="s">
        <v>21</v>
      </c>
      <c r="B15" s="22">
        <v>23080.833280325205</v>
      </c>
      <c r="C15" s="37">
        <v>10.864614181969241</v>
      </c>
      <c r="D15" s="22">
        <v>26063.58798694974</v>
      </c>
      <c r="E15" s="37">
        <v>11.030728112584812</v>
      </c>
      <c r="F15" s="22">
        <f>+F13+F14</f>
        <v>27105.237579895307</v>
      </c>
      <c r="G15" s="37">
        <f t="shared" si="0"/>
        <v>11.225406106993754</v>
      </c>
      <c r="H15" s="22">
        <f>+H13+H14</f>
        <v>29032.36983727894</v>
      </c>
      <c r="I15" s="37">
        <f t="shared" si="1"/>
        <v>11.635440178948448</v>
      </c>
      <c r="J15" s="22">
        <f>+J13+J14</f>
        <v>31102.078192531837</v>
      </c>
      <c r="K15" s="37">
        <f t="shared" si="2"/>
        <v>11.983714062423939</v>
      </c>
      <c r="L15" s="22">
        <f>+L13+L14</f>
        <v>32714.896271430443</v>
      </c>
      <c r="M15" s="37">
        <f t="shared" si="3"/>
        <v>12.038339648204566</v>
      </c>
      <c r="N15" s="22">
        <f>+N13+N14</f>
        <v>34072.853517779557</v>
      </c>
      <c r="O15" s="37">
        <f t="shared" si="4"/>
        <v>11.931259997678524</v>
      </c>
      <c r="P15" s="70"/>
      <c r="Q15" s="60"/>
      <c r="R15" s="72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</row>
    <row r="16" spans="1:29" x14ac:dyDescent="0.35">
      <c r="A16" s="25" t="s">
        <v>22</v>
      </c>
      <c r="B16" s="21">
        <v>-9219.3601543991554</v>
      </c>
      <c r="C16" s="35">
        <v>-4.339738945541046</v>
      </c>
      <c r="D16" s="21">
        <v>-10322.161862012697</v>
      </c>
      <c r="E16" s="35">
        <v>-4.3685835231498205</v>
      </c>
      <c r="F16" s="21">
        <f>-11595.4065602813+300</f>
        <v>-11295.406560281301</v>
      </c>
      <c r="G16" s="35">
        <f t="shared" si="0"/>
        <v>-4.6778975985367017</v>
      </c>
      <c r="H16" s="21">
        <v>-12371.811422692534</v>
      </c>
      <c r="I16" s="35">
        <f t="shared" si="1"/>
        <v>-4.9583093809010919</v>
      </c>
      <c r="J16" s="21">
        <f>-13222.1906557512</f>
        <v>-13222.190655751199</v>
      </c>
      <c r="K16" s="35">
        <f t="shared" si="2"/>
        <v>-5.0945454871701452</v>
      </c>
      <c r="L16" s="21">
        <f>-14033.2687675126+500</f>
        <v>-13533.2687675126</v>
      </c>
      <c r="M16" s="35">
        <f t="shared" si="3"/>
        <v>-4.9799358867608587</v>
      </c>
      <c r="N16" s="21">
        <f>-14843.8225365378+700</f>
        <v>-14143.8225365378</v>
      </c>
      <c r="O16" s="35">
        <f t="shared" si="4"/>
        <v>-4.9527294201056602</v>
      </c>
      <c r="P16" s="70"/>
      <c r="Q16" s="60"/>
      <c r="R16" s="72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</row>
    <row r="17" spans="1:29" collapsed="1" x14ac:dyDescent="0.35">
      <c r="A17" s="25" t="s">
        <v>23</v>
      </c>
      <c r="B17" s="21">
        <v>-1254.7400867545125</v>
      </c>
      <c r="C17" s="35">
        <v>-0.59063148958573108</v>
      </c>
      <c r="D17" s="21">
        <v>-1566.5374917332224</v>
      </c>
      <c r="E17" s="35">
        <v>-0.66299579160520883</v>
      </c>
      <c r="F17" s="21">
        <v>-1489.0370833445456</v>
      </c>
      <c r="G17" s="35">
        <f t="shared" si="0"/>
        <v>-0.61667218077859731</v>
      </c>
      <c r="H17" s="21">
        <v>-1675.8723795693027</v>
      </c>
      <c r="I17" s="35">
        <f t="shared" si="1"/>
        <v>-0.6716473002142701</v>
      </c>
      <c r="J17" s="21">
        <v>-1853.9917617121801</v>
      </c>
      <c r="K17" s="35">
        <f t="shared" si="2"/>
        <v>-0.71434799336924226</v>
      </c>
      <c r="L17" s="21">
        <v>-2117.3551100331142</v>
      </c>
      <c r="M17" s="35">
        <f t="shared" si="3"/>
        <v>-0.77913864555639212</v>
      </c>
      <c r="N17" s="21">
        <v>-2315.6792912240921</v>
      </c>
      <c r="O17" s="35">
        <f t="shared" si="4"/>
        <v>-0.81087930250448481</v>
      </c>
      <c r="P17" s="70"/>
      <c r="Q17" s="60"/>
      <c r="R17" s="72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</row>
    <row r="18" spans="1:29" x14ac:dyDescent="0.35">
      <c r="A18" s="25" t="s">
        <v>24</v>
      </c>
      <c r="B18" s="21">
        <v>-2011.5215928399771</v>
      </c>
      <c r="C18" s="36">
        <v>-0.94686382243989109</v>
      </c>
      <c r="D18" s="21">
        <v>-2278.0627342466701</v>
      </c>
      <c r="E18" s="36">
        <v>-0.96413013655175617</v>
      </c>
      <c r="F18" s="21">
        <v>-2316.2651465414201</v>
      </c>
      <c r="G18" s="36">
        <f t="shared" si="0"/>
        <v>-0.95926172367101858</v>
      </c>
      <c r="H18" s="21">
        <v>-2366.90771754142</v>
      </c>
      <c r="I18" s="36">
        <f t="shared" si="1"/>
        <v>-0.94859680111893319</v>
      </c>
      <c r="J18" s="21">
        <v>-3368.6383416377198</v>
      </c>
      <c r="K18" s="36">
        <f t="shared" si="2"/>
        <v>-1.2979453789553417</v>
      </c>
      <c r="L18" s="21">
        <v>-3371.3286929639708</v>
      </c>
      <c r="M18" s="36">
        <f t="shared" si="3"/>
        <v>-1.2405724760643808</v>
      </c>
      <c r="N18" s="21">
        <v>-3355.2493664910853</v>
      </c>
      <c r="O18" s="36">
        <f t="shared" si="4"/>
        <v>-1.1749046063242696</v>
      </c>
      <c r="P18" s="70"/>
      <c r="Q18" s="60"/>
      <c r="R18" s="72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</row>
    <row r="19" spans="1:29" x14ac:dyDescent="0.35">
      <c r="A19" s="25" t="s">
        <v>25</v>
      </c>
      <c r="B19" s="21">
        <v>-5167.0291553210755</v>
      </c>
      <c r="C19" s="35">
        <v>-2.432224935631047</v>
      </c>
      <c r="D19" s="21">
        <v>-5424.5115072389717</v>
      </c>
      <c r="E19" s="35">
        <v>-2.2957818244326638</v>
      </c>
      <c r="F19" s="21">
        <f>-5611.50727816482+300</f>
        <v>-5311.5072781648196</v>
      </c>
      <c r="G19" s="35">
        <f t="shared" si="0"/>
        <v>-2.1997160534714424</v>
      </c>
      <c r="H19" s="21">
        <f>-6118.70197465599+200</f>
        <v>-5918.7019746559899</v>
      </c>
      <c r="I19" s="35">
        <f t="shared" si="1"/>
        <v>-2.3720661850589169</v>
      </c>
      <c r="J19" s="21">
        <f>-6087.01820643923+500</f>
        <v>-5587.0182064392302</v>
      </c>
      <c r="K19" s="35">
        <f t="shared" si="2"/>
        <v>-2.1526930847856023</v>
      </c>
      <c r="L19" s="21">
        <f>-6535.56043789767+500</f>
        <v>-6035.5604378976705</v>
      </c>
      <c r="M19" s="35">
        <f t="shared" si="3"/>
        <v>-2.2209493166612906</v>
      </c>
      <c r="N19" s="21">
        <f>-6937.28569164743+500</f>
        <v>-6437.2856916474302</v>
      </c>
      <c r="O19" s="35">
        <f t="shared" si="4"/>
        <v>-2.2541384514890637</v>
      </c>
      <c r="P19" s="70"/>
      <c r="Q19" s="60"/>
      <c r="R19" s="72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</row>
    <row r="20" spans="1:29" x14ac:dyDescent="0.35">
      <c r="A20" s="28" t="s">
        <v>26</v>
      </c>
      <c r="B20" s="17">
        <v>-17652.650989314719</v>
      </c>
      <c r="C20" s="37">
        <v>-8.309459193197716</v>
      </c>
      <c r="D20" s="17">
        <v>-19591.273595231563</v>
      </c>
      <c r="E20" s="37">
        <v>-8.2914912757394497</v>
      </c>
      <c r="F20" s="17">
        <f>SUM(F16:F19)</f>
        <v>-20412.216068332084</v>
      </c>
      <c r="G20" s="37">
        <f t="shared" si="0"/>
        <v>-8.4535475564577585</v>
      </c>
      <c r="H20" s="17">
        <f>SUM(H16:H19)</f>
        <v>-22333.293494459245</v>
      </c>
      <c r="I20" s="37">
        <f t="shared" si="1"/>
        <v>-8.9506196672932123</v>
      </c>
      <c r="J20" s="17">
        <f>SUM(J16:J19)</f>
        <v>-24031.83896554033</v>
      </c>
      <c r="K20" s="37">
        <f t="shared" si="2"/>
        <v>-9.2595319442803312</v>
      </c>
      <c r="L20" s="17">
        <f>SUM(L16:L19)</f>
        <v>-25057.513008407353</v>
      </c>
      <c r="M20" s="37">
        <f t="shared" si="3"/>
        <v>-9.220596325042921</v>
      </c>
      <c r="N20" s="17">
        <f>SUM(N16:N19)</f>
        <v>-26252.036885900405</v>
      </c>
      <c r="O20" s="37">
        <f t="shared" si="4"/>
        <v>-9.1926517804234784</v>
      </c>
      <c r="P20" s="70"/>
      <c r="Q20" s="60"/>
      <c r="R20" s="72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</row>
    <row r="21" spans="1:29" x14ac:dyDescent="0.35">
      <c r="A21" s="28" t="s">
        <v>27</v>
      </c>
      <c r="B21" s="17">
        <v>5428.1822910104847</v>
      </c>
      <c r="C21" s="37">
        <v>2.5551549887715255</v>
      </c>
      <c r="D21" s="17">
        <v>6472.3143917181751</v>
      </c>
      <c r="E21" s="37">
        <v>2.7392368368453606</v>
      </c>
      <c r="F21" s="17">
        <f>+F15+F20</f>
        <v>6693.0215115632236</v>
      </c>
      <c r="G21" s="37">
        <f t="shared" si="0"/>
        <v>2.7718585505359945</v>
      </c>
      <c r="H21" s="17">
        <f>+H15+H20</f>
        <v>6699.0763428196951</v>
      </c>
      <c r="I21" s="37">
        <f t="shared" si="1"/>
        <v>2.6848205116552371</v>
      </c>
      <c r="J21" s="17">
        <f>+J15+J20</f>
        <v>7070.2392269915072</v>
      </c>
      <c r="K21" s="37">
        <f t="shared" si="2"/>
        <v>2.7241821181436077</v>
      </c>
      <c r="L21" s="17">
        <f>+L15+L20</f>
        <v>7657.38326302309</v>
      </c>
      <c r="M21" s="37">
        <f t="shared" si="3"/>
        <v>2.8177433231616447</v>
      </c>
      <c r="N21" s="17">
        <f>+N15+N20</f>
        <v>7820.8166318791518</v>
      </c>
      <c r="O21" s="37">
        <f t="shared" si="4"/>
        <v>2.7386082172550461</v>
      </c>
      <c r="P21" s="70"/>
      <c r="Q21" s="60"/>
      <c r="R21" s="72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</row>
    <row r="22" spans="1:29" ht="18.600000000000001" thickBot="1" x14ac:dyDescent="0.4">
      <c r="A22" s="29" t="s">
        <v>28</v>
      </c>
      <c r="B22" s="21">
        <v>-1349.7680687314357</v>
      </c>
      <c r="C22" s="35">
        <v>-0.63536307913152457</v>
      </c>
      <c r="D22" s="21">
        <v>-1627.1228455615897</v>
      </c>
      <c r="E22" s="35">
        <v>-0.68863694914729745</v>
      </c>
      <c r="F22" s="21">
        <v>-1713.0165027999326</v>
      </c>
      <c r="G22" s="35">
        <f t="shared" si="0"/>
        <v>-0.70943137300424719</v>
      </c>
      <c r="H22" s="21">
        <v>-1988.648559985475</v>
      </c>
      <c r="I22" s="35">
        <f t="shared" si="1"/>
        <v>-0.79700008942954603</v>
      </c>
      <c r="J22" s="21">
        <v>-2573.4133959944834</v>
      </c>
      <c r="K22" s="35">
        <f t="shared" si="2"/>
        <v>-0.99154307667499342</v>
      </c>
      <c r="L22" s="21">
        <v>-2567.8017632940746</v>
      </c>
      <c r="M22" s="35">
        <f t="shared" si="3"/>
        <v>-0.94489279499222567</v>
      </c>
      <c r="N22" s="21">
        <v>-2534.0229162691753</v>
      </c>
      <c r="O22" s="35">
        <f t="shared" si="4"/>
        <v>-0.88733649027389616</v>
      </c>
      <c r="P22" s="70"/>
      <c r="Q22" s="60"/>
      <c r="R22" s="72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</row>
    <row r="23" spans="1:29" x14ac:dyDescent="0.35">
      <c r="A23" s="26" t="s">
        <v>2</v>
      </c>
      <c r="B23" s="22">
        <v>4078.4142222790497</v>
      </c>
      <c r="C23" s="37">
        <v>1.9197919096400011</v>
      </c>
      <c r="D23" s="22">
        <v>4845.191546156585</v>
      </c>
      <c r="E23" s="37">
        <v>2.0505998876980627</v>
      </c>
      <c r="F23" s="22">
        <f>+F21+F22</f>
        <v>4980.0050087632908</v>
      </c>
      <c r="G23" s="37">
        <f t="shared" si="0"/>
        <v>2.0624271775317471</v>
      </c>
      <c r="H23" s="22">
        <f>+H21+H22</f>
        <v>4710.4277828342201</v>
      </c>
      <c r="I23" s="37">
        <f t="shared" si="1"/>
        <v>1.8878204222256909</v>
      </c>
      <c r="J23" s="22">
        <f>+J21+J22</f>
        <v>4496.8258309970242</v>
      </c>
      <c r="K23" s="37">
        <f t="shared" si="2"/>
        <v>1.7326390414686144</v>
      </c>
      <c r="L23" s="22">
        <f>+L21+L22</f>
        <v>5089.5814997290154</v>
      </c>
      <c r="M23" s="37">
        <f t="shared" si="3"/>
        <v>1.8728505281694188</v>
      </c>
      <c r="N23" s="22">
        <f>+N21+N22</f>
        <v>5286.7937156099761</v>
      </c>
      <c r="O23" s="37">
        <f t="shared" si="4"/>
        <v>1.8512717269811501</v>
      </c>
      <c r="P23" s="70"/>
      <c r="Q23" s="60"/>
      <c r="R23" s="72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</row>
    <row r="24" spans="1:29" x14ac:dyDescent="0.35">
      <c r="A24" s="25" t="s">
        <v>5</v>
      </c>
      <c r="B24" s="21">
        <v>-1790.5322558596517</v>
      </c>
      <c r="C24" s="35">
        <v>-0.84283968018038802</v>
      </c>
      <c r="D24" s="21">
        <v>-2136.6394451157503</v>
      </c>
      <c r="E24" s="35">
        <v>-0.90427644902524407</v>
      </c>
      <c r="F24" s="21">
        <v>-2113</v>
      </c>
      <c r="G24" s="35">
        <f t="shared" si="0"/>
        <v>-0.87508117330323787</v>
      </c>
      <c r="H24" s="21">
        <v>-2063</v>
      </c>
      <c r="I24" s="35">
        <f t="shared" si="1"/>
        <v>-0.8267982677166259</v>
      </c>
      <c r="J24" s="21">
        <v>-2290</v>
      </c>
      <c r="K24" s="35">
        <f t="shared" si="2"/>
        <v>-0.88234313582107526</v>
      </c>
      <c r="L24" s="21">
        <v>-2232</v>
      </c>
      <c r="M24" s="35">
        <f t="shared" si="3"/>
        <v>-0.82132536419678315</v>
      </c>
      <c r="N24" s="21">
        <v>-2292</v>
      </c>
      <c r="O24" s="35">
        <f t="shared" si="4"/>
        <v>-0.8025875467227751</v>
      </c>
      <c r="P24" s="70"/>
      <c r="Q24" s="60"/>
      <c r="R24" s="72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</row>
    <row r="25" spans="1:29" ht="18.600000000000001" thickBot="1" x14ac:dyDescent="0.4">
      <c r="A25" s="29" t="s">
        <v>29</v>
      </c>
      <c r="B25" s="21">
        <v>-463.48401198001909</v>
      </c>
      <c r="C25" s="38">
        <v>-0.21817128127547253</v>
      </c>
      <c r="D25" s="21">
        <v>-513.73521795291379</v>
      </c>
      <c r="E25" s="38">
        <v>-0.21742491916061377</v>
      </c>
      <c r="F25" s="21">
        <v>-497.92403074295476</v>
      </c>
      <c r="G25" s="38">
        <f t="shared" si="0"/>
        <v>-0.20621104829078199</v>
      </c>
      <c r="H25" s="21">
        <v>-499.16883074295475</v>
      </c>
      <c r="I25" s="38">
        <f t="shared" si="1"/>
        <v>-0.20005425329927712</v>
      </c>
      <c r="J25" s="21">
        <v>-449.73449599999998</v>
      </c>
      <c r="K25" s="38">
        <f t="shared" si="2"/>
        <v>-0.17328390632644139</v>
      </c>
      <c r="L25" s="21">
        <v>-419.98918592000001</v>
      </c>
      <c r="M25" s="38">
        <f t="shared" si="3"/>
        <v>-0.15454649242135057</v>
      </c>
      <c r="N25" s="21">
        <v>-381.24896963840001</v>
      </c>
      <c r="O25" s="38">
        <f t="shared" si="4"/>
        <v>-0.13350160350465501</v>
      </c>
      <c r="P25" s="70"/>
      <c r="Q25" s="60"/>
      <c r="R25" s="72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</row>
    <row r="26" spans="1:29" x14ac:dyDescent="0.35">
      <c r="A26" s="26" t="s">
        <v>3</v>
      </c>
      <c r="B26" s="22">
        <v>1824.3979544393783</v>
      </c>
      <c r="C26" s="37">
        <v>0.85878094818414041</v>
      </c>
      <c r="D26" s="22">
        <v>2194.8168830879204</v>
      </c>
      <c r="E26" s="37">
        <v>0.9288985195122047</v>
      </c>
      <c r="F26" s="22">
        <f>+F23+F24+F25</f>
        <v>2369.0809780203363</v>
      </c>
      <c r="G26" s="37">
        <f t="shared" si="0"/>
        <v>0.98113495593772737</v>
      </c>
      <c r="H26" s="22">
        <f>+H23+H24+H25</f>
        <v>2148.2589520912652</v>
      </c>
      <c r="I26" s="37">
        <f t="shared" si="1"/>
        <v>0.86096790120978783</v>
      </c>
      <c r="J26" s="22">
        <f>+J23+J24+J25</f>
        <v>1757.0913349970242</v>
      </c>
      <c r="K26" s="37">
        <f t="shared" si="2"/>
        <v>0.67701199932109768</v>
      </c>
      <c r="L26" s="22">
        <f>+L23+L24+L25</f>
        <v>2437.5923138090152</v>
      </c>
      <c r="M26" s="37">
        <f t="shared" si="3"/>
        <v>0.8969786715512853</v>
      </c>
      <c r="N26" s="22">
        <f>+N23+N24+N25</f>
        <v>2613.544745971576</v>
      </c>
      <c r="O26" s="37">
        <f t="shared" si="4"/>
        <v>0.91518257675371995</v>
      </c>
      <c r="P26" s="70"/>
      <c r="Q26" s="60"/>
      <c r="R26" s="72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</row>
    <row r="27" spans="1:29" x14ac:dyDescent="0.35">
      <c r="A27" s="30" t="s">
        <v>30</v>
      </c>
      <c r="B27" s="21">
        <v>-425.58590243902501</v>
      </c>
      <c r="C27" s="35">
        <v>-0.20033187602575414</v>
      </c>
      <c r="D27" s="21">
        <v>-387.87649661675226</v>
      </c>
      <c r="E27" s="35">
        <v>-0.16415852558686964</v>
      </c>
      <c r="F27" s="21">
        <f>-F26*0.15</f>
        <v>-355.36214670305043</v>
      </c>
      <c r="G27" s="35">
        <f t="shared" si="0"/>
        <v>-0.14717024339065909</v>
      </c>
      <c r="H27" s="21">
        <f>-H26*0.15</f>
        <v>-322.23884281368976</v>
      </c>
      <c r="I27" s="35">
        <f t="shared" si="1"/>
        <v>-0.12914518518146817</v>
      </c>
      <c r="J27" s="21">
        <f>-J26*0.15</f>
        <v>-263.56370024955362</v>
      </c>
      <c r="K27" s="35">
        <f t="shared" si="2"/>
        <v>-0.10155179989816467</v>
      </c>
      <c r="L27" s="21">
        <f>-L26*0.15</f>
        <v>-365.63884707135225</v>
      </c>
      <c r="M27" s="35">
        <f t="shared" si="3"/>
        <v>-0.13454680073269276</v>
      </c>
      <c r="N27" s="21">
        <f>-N26*0.15</f>
        <v>-392.03171189573641</v>
      </c>
      <c r="O27" s="35">
        <f t="shared" si="4"/>
        <v>-0.13727738651305799</v>
      </c>
      <c r="P27" s="70"/>
      <c r="Q27" s="60"/>
      <c r="R27" s="72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</row>
    <row r="28" spans="1:29" x14ac:dyDescent="0.35">
      <c r="A28" s="8" t="s">
        <v>31</v>
      </c>
      <c r="B28" s="17">
        <v>1398.8120520003536</v>
      </c>
      <c r="C28" s="37">
        <v>0.65844907215838644</v>
      </c>
      <c r="D28" s="17">
        <v>1806.940386471168</v>
      </c>
      <c r="E28" s="37">
        <v>0.76473999392533498</v>
      </c>
      <c r="F28" s="17">
        <f>+F26+F27</f>
        <v>2013.7188313172858</v>
      </c>
      <c r="G28" s="37">
        <f t="shared" si="0"/>
        <v>0.83396471254706828</v>
      </c>
      <c r="H28" s="17">
        <f>+H26+H27</f>
        <v>1826.0201092775756</v>
      </c>
      <c r="I28" s="37">
        <f t="shared" si="1"/>
        <v>0.73182271602831961</v>
      </c>
      <c r="J28" s="17">
        <f>+J26+J27</f>
        <v>1493.5276347474705</v>
      </c>
      <c r="K28" s="37">
        <f t="shared" si="2"/>
        <v>0.57546019942293303</v>
      </c>
      <c r="L28" s="17">
        <f>+L26+L27</f>
        <v>2071.9534667376629</v>
      </c>
      <c r="M28" s="37">
        <f t="shared" si="3"/>
        <v>0.76243187081859243</v>
      </c>
      <c r="N28" s="17">
        <f>+N26+N27</f>
        <v>2221.5130340758396</v>
      </c>
      <c r="O28" s="37">
        <f t="shared" si="4"/>
        <v>0.77790519024066196</v>
      </c>
      <c r="P28" s="70"/>
      <c r="Q28" s="60"/>
      <c r="R28" s="72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</row>
    <row r="29" spans="1:29" x14ac:dyDescent="0.35">
      <c r="F29" s="6"/>
      <c r="H29" s="6"/>
      <c r="K29" s="39"/>
      <c r="P29" s="58"/>
      <c r="Q29" s="60"/>
      <c r="R29" s="58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</row>
    <row r="30" spans="1:29" x14ac:dyDescent="0.35">
      <c r="B30" s="74"/>
      <c r="C30" s="74"/>
      <c r="D30" s="74"/>
      <c r="E30" s="74"/>
      <c r="F30" s="75"/>
      <c r="G30" s="75"/>
      <c r="H30" s="74"/>
      <c r="I30" s="75"/>
      <c r="J30" s="74"/>
      <c r="K30" s="74"/>
      <c r="L30" s="74"/>
      <c r="M30" s="74"/>
      <c r="N30" s="74"/>
    </row>
    <row r="31" spans="1:29" x14ac:dyDescent="0.35">
      <c r="H31" s="6"/>
    </row>
    <row r="32" spans="1:29" x14ac:dyDescent="0.35">
      <c r="B32" s="71"/>
      <c r="C32" s="71"/>
      <c r="D32" s="71"/>
      <c r="E32" s="71"/>
      <c r="F32" s="71"/>
      <c r="G32" s="71"/>
      <c r="H32" s="6"/>
      <c r="I32" s="71"/>
      <c r="J32" s="71"/>
      <c r="K32" s="71"/>
      <c r="L32" s="71"/>
      <c r="M32" s="71"/>
      <c r="N32" s="71"/>
    </row>
    <row r="33" spans="2:14" x14ac:dyDescent="0.35"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</row>
    <row r="35" spans="2:14" x14ac:dyDescent="0.35">
      <c r="H35" s="21"/>
      <c r="J35" s="76"/>
      <c r="L35" s="76"/>
      <c r="N35" s="76"/>
    </row>
  </sheetData>
  <conditionalFormatting sqref="A7:A11">
    <cfRule type="cellIs" dxfId="0" priority="19" stopIfTrue="1" operator="equal">
      <formula>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</vt:lpstr>
      <vt:lpstr>Overview</vt:lpstr>
      <vt:lpstr>Conso ERGO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Nešić Knežević</dc:creator>
  <cp:lastModifiedBy>Janko</cp:lastModifiedBy>
  <dcterms:created xsi:type="dcterms:W3CDTF">2023-11-16T21:02:14Z</dcterms:created>
  <dcterms:modified xsi:type="dcterms:W3CDTF">2026-06-24T12:40:29Z</dcterms:modified>
</cp:coreProperties>
</file>