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CC03" lockStructure="1"/>
  <bookViews>
    <workbookView xWindow="4030" yWindow="880" windowWidth="13680" windowHeight="11030"/>
  </bookViews>
  <sheets>
    <sheet name="TNUT order sheet - March 2025" sheetId="4" r:id="rId1"/>
    <sheet name="Colours" sheetId="3" state="hidden" r:id="rId2"/>
    <sheet name="Answer" sheetId="5" state="hidden" r:id="rId3"/>
  </sheets>
  <calcPr calcId="145621"/>
</workbook>
</file>

<file path=xl/calcChain.xml><?xml version="1.0" encoding="utf-8"?>
<calcChain xmlns="http://schemas.openxmlformats.org/spreadsheetml/2006/main">
  <c r="N79" i="4" l="1"/>
  <c r="M79" i="4"/>
  <c r="J79" i="4"/>
  <c r="H79" i="4"/>
  <c r="G79" i="4"/>
  <c r="C79" i="4"/>
  <c r="N38" i="4"/>
  <c r="M38" i="4"/>
  <c r="J38" i="4"/>
  <c r="H38" i="4"/>
  <c r="G38" i="4"/>
  <c r="C38" i="4"/>
  <c r="N148" i="4" l="1"/>
  <c r="J148" i="4"/>
  <c r="G148" i="4"/>
  <c r="G149" i="4"/>
  <c r="J149" i="4"/>
  <c r="N149" i="4"/>
  <c r="G114" i="4" l="1"/>
  <c r="D196" i="4" l="1"/>
  <c r="D195" i="4"/>
  <c r="D194" i="4"/>
  <c r="D193" i="4"/>
  <c r="D192" i="4"/>
  <c r="G169" i="4" l="1"/>
  <c r="G170" i="4"/>
  <c r="G171" i="4"/>
  <c r="G172" i="4"/>
  <c r="G173" i="4"/>
  <c r="G174" i="4"/>
  <c r="G175" i="4"/>
  <c r="J174" i="4"/>
  <c r="N174" i="4"/>
  <c r="J172" i="4"/>
  <c r="N172" i="4"/>
  <c r="N74" i="4" l="1"/>
  <c r="G72" i="4"/>
  <c r="G216" i="4"/>
  <c r="H88" i="4"/>
  <c r="M33" i="4"/>
  <c r="N33" i="4"/>
  <c r="J33" i="4"/>
  <c r="G33" i="4"/>
  <c r="H33" i="4"/>
  <c r="G19" i="4"/>
  <c r="H19" i="4"/>
  <c r="G20" i="4"/>
  <c r="H20" i="4"/>
  <c r="G21" i="4"/>
  <c r="H21" i="4"/>
  <c r="G22" i="4"/>
  <c r="H22" i="4"/>
  <c r="G23" i="4"/>
  <c r="H23" i="4"/>
  <c r="G24" i="4"/>
  <c r="H24" i="4"/>
  <c r="G25" i="4"/>
  <c r="H25" i="4"/>
  <c r="G26" i="4"/>
  <c r="H26" i="4"/>
  <c r="G27" i="4"/>
  <c r="H27" i="4"/>
  <c r="G28" i="4"/>
  <c r="H28" i="4"/>
  <c r="G29" i="4"/>
  <c r="H29" i="4"/>
  <c r="G30" i="4"/>
  <c r="H30" i="4"/>
  <c r="G32" i="4"/>
  <c r="H32" i="4"/>
  <c r="G35" i="4"/>
  <c r="H35" i="4"/>
  <c r="G36" i="4"/>
  <c r="H36" i="4"/>
  <c r="G37" i="4"/>
  <c r="H37" i="4"/>
  <c r="G39" i="4"/>
  <c r="H39" i="4"/>
  <c r="G41" i="4"/>
  <c r="H41" i="4"/>
  <c r="G42" i="4"/>
  <c r="H42" i="4"/>
  <c r="G43" i="4"/>
  <c r="H43" i="4"/>
  <c r="G44" i="4"/>
  <c r="H44" i="4"/>
  <c r="G45" i="4"/>
  <c r="H45" i="4"/>
  <c r="G46" i="4"/>
  <c r="H46" i="4"/>
  <c r="G47" i="4"/>
  <c r="H47" i="4"/>
  <c r="G48" i="4"/>
  <c r="H48" i="4"/>
  <c r="G49" i="4"/>
  <c r="H49" i="4"/>
  <c r="G50" i="4"/>
  <c r="H50" i="4"/>
  <c r="G51" i="4"/>
  <c r="H51" i="4"/>
  <c r="G52" i="4"/>
  <c r="H52" i="4"/>
  <c r="G53" i="4"/>
  <c r="H53" i="4"/>
  <c r="G54" i="4"/>
  <c r="H54" i="4"/>
  <c r="G55" i="4"/>
  <c r="H55" i="4"/>
  <c r="G56" i="4"/>
  <c r="H56" i="4"/>
  <c r="G57" i="4"/>
  <c r="H57" i="4"/>
  <c r="G59" i="4"/>
  <c r="H59" i="4"/>
  <c r="G60" i="4"/>
  <c r="H60" i="4"/>
  <c r="G61" i="4"/>
  <c r="H61" i="4"/>
  <c r="G62" i="4"/>
  <c r="H62" i="4"/>
  <c r="G63" i="4"/>
  <c r="H63" i="4"/>
  <c r="G64" i="4"/>
  <c r="H64" i="4"/>
  <c r="G65" i="4"/>
  <c r="H65" i="4"/>
  <c r="G66" i="4"/>
  <c r="H66" i="4"/>
  <c r="G67" i="4"/>
  <c r="H67" i="4"/>
  <c r="G68" i="4"/>
  <c r="H68" i="4"/>
  <c r="G69" i="4"/>
  <c r="H69" i="4"/>
  <c r="G70" i="4"/>
  <c r="H70" i="4"/>
  <c r="G71" i="4"/>
  <c r="H71" i="4"/>
  <c r="H72" i="4"/>
  <c r="G73" i="4"/>
  <c r="H73" i="4"/>
  <c r="G75" i="4"/>
  <c r="H75" i="4"/>
  <c r="G76" i="4"/>
  <c r="H76" i="4"/>
  <c r="G77" i="4"/>
  <c r="H77" i="4"/>
  <c r="G78" i="4"/>
  <c r="H78" i="4"/>
  <c r="G80" i="4"/>
  <c r="H80" i="4"/>
  <c r="H82" i="4"/>
  <c r="H83" i="4"/>
  <c r="H84" i="4"/>
  <c r="H85" i="4"/>
  <c r="G86" i="4"/>
  <c r="H86" i="4"/>
  <c r="M19" i="4"/>
  <c r="M20" i="4"/>
  <c r="M21" i="4"/>
  <c r="M22" i="4"/>
  <c r="M23" i="4"/>
  <c r="M24" i="4"/>
  <c r="M25" i="4"/>
  <c r="M26" i="4"/>
  <c r="M27" i="4"/>
  <c r="M28" i="4"/>
  <c r="M29" i="4"/>
  <c r="M30" i="4"/>
  <c r="J19" i="4"/>
  <c r="J20" i="4"/>
  <c r="J21" i="4"/>
  <c r="J22" i="4"/>
  <c r="J23" i="4"/>
  <c r="J24" i="4"/>
  <c r="J25" i="4"/>
  <c r="J26" i="4"/>
  <c r="J27" i="4"/>
  <c r="J28" i="4"/>
  <c r="J29" i="4"/>
  <c r="J30" i="4"/>
  <c r="N78" i="4"/>
  <c r="M78" i="4"/>
  <c r="J78" i="4"/>
  <c r="C78" i="4"/>
  <c r="N77" i="4"/>
  <c r="M77" i="4"/>
  <c r="J77" i="4"/>
  <c r="C77" i="4"/>
  <c r="N76" i="4"/>
  <c r="M76" i="4"/>
  <c r="J76" i="4"/>
  <c r="C76" i="4"/>
  <c r="N75" i="4"/>
  <c r="M75" i="4"/>
  <c r="J75" i="4"/>
  <c r="C75" i="4"/>
  <c r="J74" i="4"/>
  <c r="C74" i="4"/>
  <c r="M74" i="4" l="1"/>
  <c r="G74" i="4"/>
  <c r="H74" i="4"/>
  <c r="J179" i="4"/>
  <c r="J180" i="4"/>
  <c r="J181" i="4"/>
  <c r="J182" i="4"/>
  <c r="J183" i="4"/>
  <c r="J184" i="4"/>
  <c r="J185" i="4"/>
  <c r="J186" i="4"/>
  <c r="J187" i="4"/>
  <c r="J188" i="4"/>
  <c r="J189" i="4"/>
  <c r="J178" i="4"/>
  <c r="J161" i="4"/>
  <c r="J162" i="4"/>
  <c r="J163" i="4"/>
  <c r="J164" i="4"/>
  <c r="J165" i="4"/>
  <c r="J166" i="4"/>
  <c r="J167" i="4"/>
  <c r="J168" i="4"/>
  <c r="J169" i="4"/>
  <c r="J170" i="4"/>
  <c r="J171" i="4"/>
  <c r="J173" i="4"/>
  <c r="J175" i="4"/>
  <c r="J160" i="4"/>
  <c r="J153" i="4"/>
  <c r="J154" i="4"/>
  <c r="J155" i="4"/>
  <c r="J156" i="4"/>
  <c r="J157" i="4"/>
  <c r="J152" i="4"/>
  <c r="J143" i="4"/>
  <c r="J144" i="4"/>
  <c r="J145" i="4"/>
  <c r="J146" i="4"/>
  <c r="J147" i="4"/>
  <c r="J150" i="4"/>
  <c r="J142" i="4"/>
  <c r="J141" i="4"/>
  <c r="J136" i="4"/>
  <c r="J137" i="4"/>
  <c r="J138" i="4"/>
  <c r="J139" i="4"/>
  <c r="J135" i="4"/>
  <c r="J120" i="4"/>
  <c r="J121" i="4"/>
  <c r="J122" i="4"/>
  <c r="J123" i="4"/>
  <c r="J124" i="4"/>
  <c r="J125" i="4"/>
  <c r="J126" i="4"/>
  <c r="J127" i="4"/>
  <c r="J128" i="4"/>
  <c r="J129" i="4"/>
  <c r="J130" i="4"/>
  <c r="J131" i="4"/>
  <c r="J132" i="4"/>
  <c r="J133" i="4"/>
  <c r="C55" i="4"/>
  <c r="N54" i="4"/>
  <c r="M54" i="4"/>
  <c r="J54" i="4"/>
  <c r="C54" i="4"/>
  <c r="J55" i="4"/>
  <c r="M55" i="4"/>
  <c r="N55" i="4"/>
  <c r="C56" i="4"/>
  <c r="J56" i="4"/>
  <c r="M56" i="4"/>
  <c r="N56" i="4"/>
  <c r="N36" i="4"/>
  <c r="M36" i="4"/>
  <c r="J36" i="4"/>
  <c r="C36" i="4"/>
  <c r="J159" i="4"/>
  <c r="N173" i="4" l="1"/>
  <c r="N175" i="4"/>
  <c r="N170" i="4"/>
  <c r="N171" i="4"/>
  <c r="N166" i="4"/>
  <c r="G166" i="4"/>
  <c r="G160" i="4" l="1"/>
  <c r="N160" i="4"/>
  <c r="G167" i="4"/>
  <c r="N167" i="4"/>
  <c r="G168" i="4"/>
  <c r="N168" i="4"/>
  <c r="N169" i="4"/>
  <c r="C57" i="4" l="1"/>
  <c r="J57" i="4"/>
  <c r="M57" i="4"/>
  <c r="N57" i="4"/>
  <c r="N152" i="4" l="1"/>
  <c r="G152" i="4"/>
  <c r="G153" i="4"/>
  <c r="N153" i="4"/>
  <c r="G154" i="4"/>
  <c r="N154" i="4"/>
  <c r="G155" i="4"/>
  <c r="N155" i="4"/>
  <c r="G156" i="4"/>
  <c r="N156" i="4"/>
  <c r="G157" i="4"/>
  <c r="N157" i="4"/>
  <c r="N52" i="4"/>
  <c r="M52" i="4"/>
  <c r="J52" i="4"/>
  <c r="C52" i="4"/>
  <c r="G151" i="4" l="1"/>
  <c r="J177" i="4"/>
  <c r="N141" i="4"/>
  <c r="G18" i="4"/>
  <c r="N205" i="4"/>
  <c r="K212" i="4"/>
  <c r="K211" i="4"/>
  <c r="K210" i="4"/>
  <c r="K209" i="4"/>
  <c r="D212" i="4"/>
  <c r="D211" i="4"/>
  <c r="D210" i="4"/>
  <c r="D209" i="4"/>
  <c r="N177" i="4" l="1"/>
  <c r="G141" i="4"/>
  <c r="G177" i="4"/>
  <c r="M191" i="4"/>
  <c r="G209" i="4"/>
  <c r="N210" i="4"/>
  <c r="N209" i="4"/>
  <c r="D177" i="4" l="1"/>
  <c r="D141" i="4"/>
  <c r="N191" i="4"/>
  <c r="G210" i="4"/>
  <c r="G205" i="4"/>
  <c r="G206" i="4"/>
  <c r="N206" i="4"/>
  <c r="G207" i="4"/>
  <c r="N207" i="4"/>
  <c r="G208" i="4"/>
  <c r="N208" i="4"/>
  <c r="G211" i="4"/>
  <c r="N211" i="4"/>
  <c r="G212" i="4"/>
  <c r="N212" i="4"/>
  <c r="N139" i="4" l="1"/>
  <c r="N138" i="4"/>
  <c r="N137" i="4"/>
  <c r="G137" i="4"/>
  <c r="G138" i="4"/>
  <c r="G139" i="4"/>
  <c r="N178" i="4" l="1"/>
  <c r="G178" i="4"/>
  <c r="G179" i="4"/>
  <c r="N179" i="4"/>
  <c r="G180" i="4"/>
  <c r="N180" i="4"/>
  <c r="G181" i="4"/>
  <c r="N181" i="4"/>
  <c r="G182" i="4"/>
  <c r="N182" i="4"/>
  <c r="G183" i="4"/>
  <c r="N183" i="4"/>
  <c r="G184" i="4"/>
  <c r="N184" i="4"/>
  <c r="G185" i="4"/>
  <c r="N185" i="4"/>
  <c r="G186" i="4"/>
  <c r="N186" i="4"/>
  <c r="G187" i="4"/>
  <c r="N187" i="4"/>
  <c r="G188" i="4"/>
  <c r="N188" i="4"/>
  <c r="G189" i="4"/>
  <c r="N189" i="4"/>
  <c r="D85" i="4"/>
  <c r="G85" i="4" s="1"/>
  <c r="D84" i="4"/>
  <c r="G84" i="4" s="1"/>
  <c r="D83" i="4"/>
  <c r="G83" i="4" s="1"/>
  <c r="D82" i="4"/>
  <c r="G82" i="4" s="1"/>
  <c r="G176" i="4" l="1"/>
  <c r="K196" i="4"/>
  <c r="K195" i="4"/>
  <c r="K194" i="4"/>
  <c r="K193" i="4"/>
  <c r="K192" i="4"/>
  <c r="K201" i="4"/>
  <c r="N201" i="4" s="1"/>
  <c r="K200" i="4"/>
  <c r="N200" i="4" s="1"/>
  <c r="K199" i="4"/>
  <c r="N199" i="4" s="1"/>
  <c r="K198" i="4"/>
  <c r="N198" i="4" s="1"/>
  <c r="K197" i="4"/>
  <c r="N197" i="4" s="1"/>
  <c r="G201" i="4"/>
  <c r="G200" i="4"/>
  <c r="G199" i="4"/>
  <c r="G198" i="4"/>
  <c r="G197" i="4"/>
  <c r="G192" i="4"/>
  <c r="M18" i="4" l="1"/>
  <c r="M32" i="4"/>
  <c r="M35" i="4"/>
  <c r="M37" i="4"/>
  <c r="M39" i="4"/>
  <c r="M41" i="4"/>
  <c r="M42" i="4"/>
  <c r="M43" i="4"/>
  <c r="M44" i="4"/>
  <c r="M45" i="4"/>
  <c r="M46" i="4"/>
  <c r="M47" i="4"/>
  <c r="M48" i="4"/>
  <c r="M49" i="4"/>
  <c r="M50" i="4"/>
  <c r="M51" i="4"/>
  <c r="M53" i="4"/>
  <c r="M59" i="4"/>
  <c r="M60" i="4"/>
  <c r="M61" i="4"/>
  <c r="M62" i="4"/>
  <c r="M63" i="4"/>
  <c r="M64" i="4"/>
  <c r="M65" i="4"/>
  <c r="M66" i="4"/>
  <c r="M67" i="4"/>
  <c r="M68" i="4"/>
  <c r="M69" i="4"/>
  <c r="M70" i="4"/>
  <c r="M71" i="4"/>
  <c r="M72" i="4"/>
  <c r="M73" i="4"/>
  <c r="M80" i="4"/>
  <c r="M82" i="4"/>
  <c r="M83" i="4"/>
  <c r="M84" i="4"/>
  <c r="M85" i="4"/>
  <c r="M86" i="4"/>
  <c r="M88" i="4"/>
  <c r="M90" i="4"/>
  <c r="M91" i="4"/>
  <c r="M92" i="4"/>
  <c r="M94" i="4"/>
  <c r="M95" i="4"/>
  <c r="M96" i="4"/>
  <c r="M97" i="4"/>
  <c r="M214" i="4"/>
  <c r="G202" i="4"/>
  <c r="N202" i="4"/>
  <c r="G195" i="4"/>
  <c r="N195" i="4"/>
  <c r="N192" i="4"/>
  <c r="G193" i="4"/>
  <c r="N193" i="4"/>
  <c r="G194" i="4"/>
  <c r="N194" i="4"/>
  <c r="G196" i="4"/>
  <c r="N196" i="4"/>
  <c r="C53" i="4"/>
  <c r="J53" i="4"/>
  <c r="N53" i="4"/>
  <c r="M204" i="4" l="1"/>
  <c r="M215" i="4" s="1"/>
  <c r="C85" i="4"/>
  <c r="J85" i="4"/>
  <c r="N85" i="4"/>
  <c r="C66" i="4"/>
  <c r="J66" i="4"/>
  <c r="N66" i="4"/>
  <c r="G204" i="4" l="1"/>
  <c r="N204" i="4"/>
  <c r="G191" i="4"/>
  <c r="G190" i="4" s="1"/>
  <c r="N50" i="4"/>
  <c r="J50" i="4"/>
  <c r="C50" i="4"/>
  <c r="D204" i="4" l="1"/>
  <c r="G203" i="4"/>
  <c r="D191" i="4"/>
  <c r="G113" i="4"/>
  <c r="N113" i="4"/>
  <c r="N100" i="4"/>
  <c r="N114" i="4" l="1"/>
  <c r="G115" i="4"/>
  <c r="N115" i="4"/>
  <c r="G116" i="4"/>
  <c r="N116" i="4"/>
  <c r="K107" i="4"/>
  <c r="K106" i="4"/>
  <c r="N106" i="4" s="1"/>
  <c r="K108" i="4"/>
  <c r="K109" i="4" s="1"/>
  <c r="K110" i="4"/>
  <c r="K111" i="4" s="1"/>
  <c r="K104" i="4"/>
  <c r="K105" i="4" s="1"/>
  <c r="K102" i="4"/>
  <c r="K103" i="4" s="1"/>
  <c r="N103" i="4" s="1"/>
  <c r="G103" i="4"/>
  <c r="G102" i="4"/>
  <c r="G107" i="4"/>
  <c r="G106" i="4"/>
  <c r="G112" i="4" l="1"/>
  <c r="N102" i="4"/>
  <c r="N107" i="4"/>
  <c r="N143" i="4"/>
  <c r="G143" i="4"/>
  <c r="G161" i="4" l="1"/>
  <c r="G214" i="4" l="1"/>
  <c r="N86" i="4" l="1"/>
  <c r="J86" i="4"/>
  <c r="C86" i="4"/>
  <c r="N84" i="4"/>
  <c r="J84" i="4"/>
  <c r="C84" i="4"/>
  <c r="N83" i="4"/>
  <c r="J83" i="4"/>
  <c r="N82" i="4"/>
  <c r="J82" i="4"/>
  <c r="C83" i="4" l="1"/>
  <c r="C82" i="4"/>
  <c r="C35" i="4" l="1"/>
  <c r="J35" i="4"/>
  <c r="N35" i="4"/>
  <c r="C37" i="4"/>
  <c r="J37" i="4"/>
  <c r="N37" i="4"/>
  <c r="C39" i="4"/>
  <c r="J39" i="4"/>
  <c r="N39" i="4"/>
  <c r="N109" i="4" l="1"/>
  <c r="G109" i="4"/>
  <c r="N108" i="4"/>
  <c r="G108" i="4"/>
  <c r="N110" i="4"/>
  <c r="G110" i="4"/>
  <c r="N165" i="4"/>
  <c r="G165" i="4"/>
  <c r="N164" i="4"/>
  <c r="G164" i="4"/>
  <c r="N163" i="4"/>
  <c r="G163" i="4"/>
  <c r="N162" i="4"/>
  <c r="G162" i="4"/>
  <c r="N161" i="4"/>
  <c r="C51" i="4" l="1"/>
  <c r="J51" i="4"/>
  <c r="N51" i="4"/>
  <c r="J119" i="4" l="1"/>
  <c r="C30" i="4" l="1"/>
  <c r="N30" i="4"/>
  <c r="C18" i="4"/>
  <c r="H18" i="4"/>
  <c r="J18" i="4"/>
  <c r="N18" i="4"/>
  <c r="N214" i="4" l="1"/>
  <c r="C28" i="4" l="1"/>
  <c r="N28" i="4"/>
  <c r="C29" i="4"/>
  <c r="N29" i="4"/>
  <c r="N146" i="4" l="1"/>
  <c r="G146" i="4"/>
  <c r="G144" i="4" l="1"/>
  <c r="N144" i="4"/>
  <c r="G147" i="4" l="1"/>
  <c r="N147" i="4"/>
  <c r="N111" i="4" l="1"/>
  <c r="G111" i="4"/>
  <c r="C48" i="4" l="1"/>
  <c r="J48" i="4"/>
  <c r="N48" i="4"/>
  <c r="C49" i="4"/>
  <c r="J49" i="4"/>
  <c r="N49" i="4"/>
  <c r="N150" i="4" l="1"/>
  <c r="G150" i="4"/>
  <c r="N145" i="4"/>
  <c r="G145" i="4"/>
  <c r="N142" i="4"/>
  <c r="G142" i="4"/>
  <c r="N136" i="4"/>
  <c r="G136" i="4"/>
  <c r="N135" i="4"/>
  <c r="G135" i="4"/>
  <c r="G134" i="4" l="1"/>
  <c r="G140" i="4"/>
  <c r="N99" i="4"/>
  <c r="H99" i="4"/>
  <c r="I99" i="4"/>
  <c r="J99" i="4"/>
  <c r="G123" i="4" l="1"/>
  <c r="N123" i="4"/>
  <c r="G100" i="4" l="1"/>
  <c r="G99" i="4" l="1"/>
  <c r="J32" i="4"/>
  <c r="J41" i="4"/>
  <c r="J42" i="4"/>
  <c r="J43" i="4"/>
  <c r="J44" i="4"/>
  <c r="J45" i="4"/>
  <c r="J46" i="4"/>
  <c r="J47" i="4"/>
  <c r="J59" i="4"/>
  <c r="J60" i="4"/>
  <c r="J61" i="4"/>
  <c r="J62" i="4"/>
  <c r="J63" i="4"/>
  <c r="J64" i="4"/>
  <c r="J65" i="4"/>
  <c r="J67" i="4"/>
  <c r="J68" i="4"/>
  <c r="J69" i="4"/>
  <c r="J70" i="4"/>
  <c r="J71" i="4"/>
  <c r="J72" i="4"/>
  <c r="J73" i="4"/>
  <c r="J80" i="4"/>
  <c r="J88" i="4"/>
  <c r="J90" i="4"/>
  <c r="J91" i="4"/>
  <c r="J92" i="4"/>
  <c r="J94" i="4"/>
  <c r="J95" i="4"/>
  <c r="J96" i="4"/>
  <c r="J97" i="4"/>
  <c r="G159" i="4" l="1"/>
  <c r="G158" i="4" s="1"/>
  <c r="J118" i="4"/>
  <c r="J215" i="4" s="1"/>
  <c r="C19" i="4"/>
  <c r="N19" i="4"/>
  <c r="N118" i="4" l="1"/>
  <c r="G118" i="4"/>
  <c r="G215" i="4" s="1"/>
  <c r="N159" i="4"/>
  <c r="N20" i="4"/>
  <c r="N21" i="4"/>
  <c r="N22" i="4"/>
  <c r="N23" i="4"/>
  <c r="N24" i="4"/>
  <c r="N25" i="4"/>
  <c r="N26" i="4"/>
  <c r="N27" i="4"/>
  <c r="N32" i="4"/>
  <c r="N41" i="4"/>
  <c r="N42" i="4"/>
  <c r="N43" i="4"/>
  <c r="N44" i="4"/>
  <c r="N45" i="4"/>
  <c r="N46" i="4"/>
  <c r="N47" i="4"/>
  <c r="N59" i="4"/>
  <c r="N60" i="4"/>
  <c r="N61" i="4"/>
  <c r="N62" i="4"/>
  <c r="N63" i="4"/>
  <c r="N64" i="4"/>
  <c r="N65" i="4"/>
  <c r="N67" i="4"/>
  <c r="N68" i="4"/>
  <c r="N69" i="4"/>
  <c r="N70" i="4"/>
  <c r="N71" i="4"/>
  <c r="N72" i="4"/>
  <c r="N73" i="4"/>
  <c r="N80" i="4"/>
  <c r="N88" i="4"/>
  <c r="N90" i="4"/>
  <c r="N91" i="4"/>
  <c r="N92" i="4"/>
  <c r="N94" i="4"/>
  <c r="N95" i="4"/>
  <c r="N96" i="4"/>
  <c r="N97" i="4"/>
  <c r="N104" i="4"/>
  <c r="N105" i="4"/>
  <c r="N119" i="4"/>
  <c r="N120" i="4"/>
  <c r="N121" i="4"/>
  <c r="N122" i="4"/>
  <c r="N124" i="4"/>
  <c r="N125" i="4"/>
  <c r="N126" i="4"/>
  <c r="N127" i="4"/>
  <c r="N128" i="4"/>
  <c r="N129" i="4"/>
  <c r="N130" i="4"/>
  <c r="N131" i="4"/>
  <c r="N132" i="4"/>
  <c r="N133" i="4"/>
  <c r="N215" i="4" l="1"/>
  <c r="K219" i="4" s="1"/>
  <c r="D159" i="4"/>
  <c r="D118" i="4"/>
  <c r="I219" i="4" l="1"/>
  <c r="G125" i="4"/>
  <c r="G105" i="4" l="1"/>
  <c r="G129" i="4" l="1"/>
  <c r="G104" i="4" l="1"/>
  <c r="G101" i="4" s="1"/>
  <c r="G119" i="4"/>
  <c r="C90" i="4"/>
  <c r="G90" i="4"/>
  <c r="H90" i="4"/>
  <c r="C91" i="4"/>
  <c r="G91" i="4"/>
  <c r="H91" i="4"/>
  <c r="C92" i="4"/>
  <c r="G92" i="4"/>
  <c r="H92" i="4"/>
  <c r="G120" i="4" l="1"/>
  <c r="G121" i="4"/>
  <c r="G122" i="4"/>
  <c r="G124" i="4"/>
  <c r="G126" i="4"/>
  <c r="G127" i="4"/>
  <c r="G128" i="4"/>
  <c r="G130" i="4"/>
  <c r="G131" i="4"/>
  <c r="G132" i="4"/>
  <c r="G133" i="4"/>
  <c r="G117" i="4" l="1"/>
  <c r="C97" i="4"/>
  <c r="G97" i="4"/>
  <c r="H97" i="4"/>
  <c r="C46" i="4" l="1"/>
  <c r="H94" i="4" l="1"/>
  <c r="H95" i="4"/>
  <c r="H96" i="4"/>
  <c r="H215" i="4" l="1"/>
  <c r="G217" i="4" s="1"/>
  <c r="H159" i="4"/>
  <c r="H177" i="4"/>
  <c r="H118" i="4"/>
  <c r="H141" i="4"/>
  <c r="C21" i="4"/>
  <c r="C20" i="4" l="1"/>
  <c r="C22" i="4"/>
  <c r="C23" i="4"/>
  <c r="C24" i="4"/>
  <c r="C25" i="4"/>
  <c r="C26" i="4"/>
  <c r="C27" i="4"/>
  <c r="C32" i="4"/>
  <c r="C33" i="4"/>
  <c r="C41" i="4"/>
  <c r="C42" i="4"/>
  <c r="C43" i="4"/>
  <c r="C44" i="4"/>
  <c r="C45" i="4"/>
  <c r="C47" i="4"/>
  <c r="C59" i="4"/>
  <c r="C60" i="4"/>
  <c r="C61" i="4"/>
  <c r="C62" i="4"/>
  <c r="C63" i="4"/>
  <c r="C64" i="4"/>
  <c r="C65" i="4"/>
  <c r="C67" i="4"/>
  <c r="C68" i="4"/>
  <c r="C69" i="4"/>
  <c r="C70" i="4"/>
  <c r="C71" i="4"/>
  <c r="C72" i="4"/>
  <c r="C73" i="4"/>
  <c r="C80" i="4"/>
  <c r="C88" i="4"/>
  <c r="C94" i="4"/>
  <c r="C95" i="4"/>
  <c r="C96" i="4"/>
  <c r="G88" i="4"/>
  <c r="G94" i="4"/>
  <c r="G95" i="4"/>
  <c r="G96" i="4" l="1"/>
  <c r="I218" i="4" l="1"/>
  <c r="G218" i="4"/>
  <c r="G219" i="4"/>
  <c r="G220" i="4" l="1"/>
  <c r="K218" i="4"/>
</calcChain>
</file>

<file path=xl/sharedStrings.xml><?xml version="1.0" encoding="utf-8"?>
<sst xmlns="http://schemas.openxmlformats.org/spreadsheetml/2006/main" count="522" uniqueCount="323">
  <si>
    <t>Reference</t>
  </si>
  <si>
    <t>Qty</t>
  </si>
  <si>
    <t>Total</t>
  </si>
  <si>
    <t>Colour list</t>
  </si>
  <si>
    <t>C00001</t>
  </si>
  <si>
    <t>C00002</t>
  </si>
  <si>
    <t>C00003</t>
  </si>
  <si>
    <t>C00004</t>
  </si>
  <si>
    <t>C00007</t>
  </si>
  <si>
    <t>C00011</t>
  </si>
  <si>
    <t>C00012</t>
  </si>
  <si>
    <t>C00013</t>
  </si>
  <si>
    <t>C00016</t>
  </si>
  <si>
    <t>C00019</t>
  </si>
  <si>
    <t>C00020</t>
  </si>
  <si>
    <t>C00021</t>
  </si>
  <si>
    <t>C00022</t>
  </si>
  <si>
    <t>C00023</t>
  </si>
  <si>
    <t>T00001</t>
  </si>
  <si>
    <t xml:space="preserve">STANDARD Orange RAL 2003 </t>
  </si>
  <si>
    <t>BASIC Black</t>
  </si>
  <si>
    <t>BASIC Yellow (~ RAL 1018)</t>
  </si>
  <si>
    <t>BASIC Grassy Green (~ RAL 6017)</t>
  </si>
  <si>
    <t>CUSTOM Other</t>
  </si>
  <si>
    <t># holds 
per set</t>
  </si>
  <si>
    <t>STANDARD Yellow RAL 1021</t>
  </si>
  <si>
    <t>STANDARD Yellow Pantone 115C</t>
  </si>
  <si>
    <t>BASIC Red (~Pantone  3517C)</t>
  </si>
  <si>
    <t>BASIC Dark Green (~Pantone 2245 C)</t>
  </si>
  <si>
    <t>Don't know, will discuss by email</t>
  </si>
  <si>
    <t>STANDARD Violet RAL 4008</t>
  </si>
  <si>
    <t>Various colours only</t>
  </si>
  <si>
    <t>D01001</t>
  </si>
  <si>
    <t>C01003</t>
  </si>
  <si>
    <t>STANDARD Purple RAL 4005</t>
  </si>
  <si>
    <t>D01002</t>
  </si>
  <si>
    <t>M00004</t>
  </si>
  <si>
    <t>E00001</t>
  </si>
  <si>
    <t>M00005</t>
  </si>
  <si>
    <t>P00005</t>
  </si>
  <si>
    <t>C00010A</t>
  </si>
  <si>
    <t>C00010B</t>
  </si>
  <si>
    <t>STANDARD Teal RAL 6027</t>
  </si>
  <si>
    <t>Avg price per hold:</t>
  </si>
  <si>
    <t># holds ordered</t>
  </si>
  <si>
    <t># of sets:</t>
  </si>
  <si>
    <t># of holds:</t>
  </si>
  <si>
    <t xml:space="preserve">ORDER SUMMARY: </t>
  </si>
  <si>
    <t xml:space="preserve">Name: </t>
  </si>
  <si>
    <t xml:space="preserve">Company: </t>
  </si>
  <si>
    <t xml:space="preserve">Address Line 1: </t>
  </si>
  <si>
    <t>BASIC Dark Brown (~ RAL 8015)</t>
  </si>
  <si>
    <t>BASIC Light Brown (~ RAL 2013)</t>
  </si>
  <si>
    <t>BASIC Off White  (~RAL 1015)</t>
  </si>
  <si>
    <t>BASIC Natural (~Pantone 7499C)</t>
  </si>
  <si>
    <t>Price AUD
per 
hold</t>
  </si>
  <si>
    <t>Price AUD
(incl. GST)</t>
  </si>
  <si>
    <t>E00002</t>
  </si>
  <si>
    <t>E00003</t>
  </si>
  <si>
    <t>E00004</t>
  </si>
  <si>
    <t>E00005</t>
  </si>
  <si>
    <t>E00006</t>
  </si>
  <si>
    <t>E00007</t>
  </si>
  <si>
    <t>E00008</t>
  </si>
  <si>
    <t>E00009</t>
  </si>
  <si>
    <t>M00002</t>
  </si>
  <si>
    <t>M00003</t>
  </si>
  <si>
    <t>M00006</t>
  </si>
  <si>
    <t>M00008</t>
  </si>
  <si>
    <t>M00009</t>
  </si>
  <si>
    <t>C00005</t>
  </si>
  <si>
    <t>KEY001</t>
  </si>
  <si>
    <t>KEY002</t>
  </si>
  <si>
    <t>RF0001</t>
  </si>
  <si>
    <t>CARDH1</t>
  </si>
  <si>
    <t>HARDWARE</t>
  </si>
  <si>
    <t>#</t>
  </si>
  <si>
    <t>Price 
per item 
AUD</t>
  </si>
  <si>
    <t>38ZPSIT-RND</t>
  </si>
  <si>
    <t>M10ZPSIT-RND</t>
  </si>
  <si>
    <t>1" 1/4 bolt</t>
  </si>
  <si>
    <t>1" 1/2 bolt</t>
  </si>
  <si>
    <t>1" 3/4 bolt</t>
  </si>
  <si>
    <t>2" 1/2 bolt</t>
  </si>
  <si>
    <t>2" bolt</t>
  </si>
  <si>
    <t>3" bolt</t>
  </si>
  <si>
    <t>3" 1/2 bolt</t>
  </si>
  <si>
    <t>4" bolt</t>
  </si>
  <si>
    <t>4" 1/2 bolt</t>
  </si>
  <si>
    <t>5" bolt</t>
  </si>
  <si>
    <t>5" 1/2 bolt</t>
  </si>
  <si>
    <t>3" 1/4 bolt</t>
  </si>
  <si>
    <t>per unit</t>
  </si>
  <si>
    <t>3"3/4 bolt</t>
  </si>
  <si>
    <t>TBC - Indicative price only</t>
  </si>
  <si>
    <t>Yes</t>
  </si>
  <si>
    <t>FITTED BOLTS TO ABOVE HOLD SETS</t>
  </si>
  <si>
    <t>2" 3/4 bolt</t>
  </si>
  <si>
    <t>STANDARD Yellow Pantone 116C</t>
  </si>
  <si>
    <t>Contact details:</t>
  </si>
  <si>
    <t>Local pick up OR delivery?</t>
  </si>
  <si>
    <t>Standard shipping (Australia wide)</t>
  </si>
  <si>
    <t>Answer</t>
  </si>
  <si>
    <t>Local Pick up or delivery?</t>
  </si>
  <si>
    <t>States:</t>
  </si>
  <si>
    <t>ACT</t>
  </si>
  <si>
    <t>NSW</t>
  </si>
  <si>
    <t>NT</t>
  </si>
  <si>
    <t>QLD</t>
  </si>
  <si>
    <t>SA</t>
  </si>
  <si>
    <t>TAS</t>
  </si>
  <si>
    <t>VIC</t>
  </si>
  <si>
    <t>WA</t>
  </si>
  <si>
    <t>C01005</t>
  </si>
  <si>
    <t>PG-HAND1</t>
  </si>
  <si>
    <t>PG-15RG</t>
  </si>
  <si>
    <t>FLUORO Green (Pantone 802C) | +15%</t>
  </si>
  <si>
    <t>Total weight</t>
  </si>
  <si>
    <t>Weight / unit</t>
  </si>
  <si>
    <t>Wall angle</t>
  </si>
  <si>
    <t>EASY | Vertical</t>
  </si>
  <si>
    <t>EASY | 15°</t>
  </si>
  <si>
    <t>EASY | 30°</t>
  </si>
  <si>
    <t>EASY | 40°</t>
  </si>
  <si>
    <t>EASY | 45°</t>
  </si>
  <si>
    <t>MODERATE | Vertical</t>
  </si>
  <si>
    <t>MODERATE | 15°</t>
  </si>
  <si>
    <t>MODERATE | 30°</t>
  </si>
  <si>
    <t>MODERATE | 40°</t>
  </si>
  <si>
    <t>MODERATE | 45°</t>
  </si>
  <si>
    <t>ADVANCED | Vertical</t>
  </si>
  <si>
    <t>ADVANCED | 15°</t>
  </si>
  <si>
    <t>ADVANCED | 30°</t>
  </si>
  <si>
    <t>ADVANCED | 40°</t>
  </si>
  <si>
    <t>ADVANCED | 45°</t>
  </si>
  <si>
    <t>STAY20</t>
  </si>
  <si>
    <t>STAY40</t>
  </si>
  <si>
    <t>STAY60</t>
  </si>
  <si>
    <t>Shipping Estimate:</t>
  </si>
  <si>
    <t>#bolts per set</t>
  </si>
  <si>
    <t>#bolts ordered</t>
  </si>
  <si>
    <t>516TBAR</t>
  </si>
  <si>
    <t>2" 1/4 bolt</t>
  </si>
  <si>
    <t>Options</t>
  </si>
  <si>
    <t>Any colours</t>
  </si>
  <si>
    <t>1" 1/2 flat head</t>
  </si>
  <si>
    <t>1" 1/4 flat head</t>
  </si>
  <si>
    <t xml:space="preserve">    T-BAR</t>
  </si>
  <si>
    <t>M00010</t>
  </si>
  <si>
    <t>M00011</t>
  </si>
  <si>
    <t>Box of 2000</t>
  </si>
  <si>
    <t>ADVANCED | 35°</t>
  </si>
  <si>
    <t>MODERATE | 35°</t>
  </si>
  <si>
    <t>EASY | 35°</t>
  </si>
  <si>
    <t>Express shipping (Australia wide)</t>
  </si>
  <si>
    <t>Standard:</t>
  </si>
  <si>
    <t>Express:</t>
  </si>
  <si>
    <t xml:space="preserve">TOTAL GOODS: </t>
  </si>
  <si>
    <t>Goods + shipping:</t>
  </si>
  <si>
    <t>Authority to leave at:</t>
  </si>
  <si>
    <t>front door</t>
  </si>
  <si>
    <t>back door</t>
  </si>
  <si>
    <t>side gate</t>
  </si>
  <si>
    <t>carport</t>
  </si>
  <si>
    <t>NO, signature required</t>
  </si>
  <si>
    <t>1"3/4 bolt</t>
  </si>
  <si>
    <t>E00010</t>
  </si>
  <si>
    <t>E00011</t>
  </si>
  <si>
    <t>GARMENT</t>
  </si>
  <si>
    <t>E01001</t>
  </si>
  <si>
    <t>E00012</t>
  </si>
  <si>
    <t>STANDARD Sky Blue RAL 5015</t>
  </si>
  <si>
    <t>M00012</t>
  </si>
  <si>
    <t>G00001</t>
  </si>
  <si>
    <t>G00002</t>
  </si>
  <si>
    <t>G00003</t>
  </si>
  <si>
    <t xml:space="preserve">    T-NUTS</t>
  </si>
  <si>
    <t>PG-FOOT1</t>
  </si>
  <si>
    <t>38SSSIT-RND</t>
  </si>
  <si>
    <t>M10SSSIT-RND</t>
  </si>
  <si>
    <t>38ZPSIT-RECT</t>
  </si>
  <si>
    <t>M10ZPSIT-DMD</t>
  </si>
  <si>
    <t>Zinc</t>
  </si>
  <si>
    <t>Stainless</t>
  </si>
  <si>
    <t>B38ZPSIT-RND</t>
  </si>
  <si>
    <t>BM10ZPSIT-RND</t>
  </si>
  <si>
    <t>B38ZPSIT-RECT</t>
  </si>
  <si>
    <t>BM10ZPSIT-DMD</t>
  </si>
  <si>
    <t xml:space="preserve">    DRILL BITS</t>
  </si>
  <si>
    <t>12DRILLBIT</t>
  </si>
  <si>
    <t>125DRILLBIT</t>
  </si>
  <si>
    <t>12IMPACTBIT</t>
  </si>
  <si>
    <t>125IMPACTBIT</t>
  </si>
  <si>
    <t>M00013</t>
  </si>
  <si>
    <t>C00006</t>
  </si>
  <si>
    <t>STAY100</t>
  </si>
  <si>
    <t>M00014</t>
  </si>
  <si>
    <t>FITTED SCREWS TO ABOVE HOLD SETS</t>
  </si>
  <si>
    <t>40mm bolt</t>
  </si>
  <si>
    <t>45mm bolt</t>
  </si>
  <si>
    <t>50mm bolt</t>
  </si>
  <si>
    <t>55mm bolt</t>
  </si>
  <si>
    <t>60mm bolt</t>
  </si>
  <si>
    <t>65mm bolt</t>
  </si>
  <si>
    <t>RW20 bit</t>
  </si>
  <si>
    <t>#screws per set</t>
  </si>
  <si>
    <t>#screws ordered</t>
  </si>
  <si>
    <t xml:space="preserve"> </t>
  </si>
  <si>
    <t>FREE pick up (Perth metro)</t>
  </si>
  <si>
    <t>STANDARD Signal Blue RAL 5005</t>
  </si>
  <si>
    <t>FLUORO Yellow</t>
  </si>
  <si>
    <t>FLUORO Pink</t>
  </si>
  <si>
    <t>FLUORO Red (Pantone 805C) [out of stock]</t>
  </si>
  <si>
    <t>Box of 500</t>
  </si>
  <si>
    <t>Box of 250</t>
  </si>
  <si>
    <t>Box of 100</t>
  </si>
  <si>
    <t>Box of 200</t>
  </si>
  <si>
    <t>Empty Box weight:</t>
  </si>
  <si>
    <t>Weight per unit:</t>
  </si>
  <si>
    <t>30mm</t>
  </si>
  <si>
    <t>45mm</t>
  </si>
  <si>
    <t>60mm</t>
  </si>
  <si>
    <t>80mm</t>
  </si>
  <si>
    <t>100mm</t>
  </si>
  <si>
    <t>(Limited stock only)</t>
  </si>
  <si>
    <t>T-shirt or Singlet</t>
  </si>
  <si>
    <r>
      <t xml:space="preserve">Email size, </t>
    </r>
    <r>
      <rPr>
        <sz val="11"/>
        <color theme="1"/>
        <rFont val="Times New Roman"/>
        <family val="1"/>
      </rPr>
      <t xml:space="preserve">♀ ♂ </t>
    </r>
    <r>
      <rPr>
        <sz val="11"/>
        <color theme="1"/>
        <rFont val="Calibri"/>
        <family val="2"/>
        <scheme val="minor"/>
      </rPr>
      <t>to remi@tnut.au</t>
    </r>
  </si>
  <si>
    <t xml:space="preserve">Phone: </t>
  </si>
  <si>
    <t xml:space="preserve">Email: </t>
  </si>
  <si>
    <t xml:space="preserve">Address Line 2: </t>
  </si>
  <si>
    <t xml:space="preserve">City/Suburb: </t>
  </si>
  <si>
    <t xml:space="preserve">State: </t>
  </si>
  <si>
    <t xml:space="preserve">Postcode: </t>
  </si>
  <si>
    <t xml:space="preserve">Please select: </t>
  </si>
  <si>
    <t xml:space="preserve">    M10 HIGH TENSILE BLACK BOLTS</t>
  </si>
  <si>
    <t xml:space="preserve">    3/8" HIGH TENSILE BLACK BOLTS (MOST STANDARD IN AUSTRALIA)</t>
  </si>
  <si>
    <t>40mm  bolt</t>
  </si>
  <si>
    <t>45mm  bolt</t>
  </si>
  <si>
    <t>50mm  bolt</t>
  </si>
  <si>
    <t>55mm  bolt</t>
  </si>
  <si>
    <t>60mm  bolt</t>
  </si>
  <si>
    <t>65mm  bolt</t>
  </si>
  <si>
    <t>70mm  bolt</t>
  </si>
  <si>
    <t>80mm  bolt</t>
  </si>
  <si>
    <t>90mm  bolt</t>
  </si>
  <si>
    <t>100mm  bolt</t>
  </si>
  <si>
    <t>110mm  bolt</t>
  </si>
  <si>
    <t>120mm  bolt</t>
  </si>
  <si>
    <t>:# holds | # bolts:</t>
  </si>
  <si>
    <t># screws:</t>
  </si>
  <si>
    <t>STANDARD Jet Black RAL 9005 | +20%</t>
  </si>
  <si>
    <t>BASIC Gold (~ RAL 1005) | +20%</t>
  </si>
  <si>
    <t xml:space="preserve">Special instructions: </t>
  </si>
  <si>
    <r>
      <t xml:space="preserve">Complete the order sheet and email it to </t>
    </r>
    <r>
      <rPr>
        <b/>
        <sz val="13.5"/>
        <color theme="1"/>
        <rFont val="Calibri"/>
        <family val="2"/>
        <scheme val="minor"/>
      </rPr>
      <t>remi@tnut.au</t>
    </r>
    <r>
      <rPr>
        <sz val="13.5"/>
        <color theme="1"/>
        <rFont val="Calibri"/>
        <family val="2"/>
        <scheme val="minor"/>
      </rPr>
      <t>. We'll send you the invoice.</t>
    </r>
  </si>
  <si>
    <t>2" flat head</t>
  </si>
  <si>
    <t>2" 1/2 flat head</t>
  </si>
  <si>
    <t>3" flat head</t>
  </si>
  <si>
    <t>WURSS45-30</t>
  </si>
  <si>
    <t>WURTH40-30</t>
  </si>
  <si>
    <t>WURTH45-45</t>
  </si>
  <si>
    <t>WURTH45-60</t>
  </si>
  <si>
    <t>WURTH45-80</t>
  </si>
  <si>
    <t>WURTH45-100</t>
  </si>
  <si>
    <t>BWURTH40-30</t>
  </si>
  <si>
    <t>BWURTH45-45</t>
  </si>
  <si>
    <t>BWURTH45-60</t>
  </si>
  <si>
    <t>BWURTH45-80</t>
  </si>
  <si>
    <t>BWURTH45-100</t>
  </si>
  <si>
    <t>WURSS45-45</t>
  </si>
  <si>
    <t>WURSS45-60</t>
  </si>
  <si>
    <t>WURSS45-80</t>
  </si>
  <si>
    <t>BWURSS45-30</t>
  </si>
  <si>
    <t>BWURSS45-45</t>
  </si>
  <si>
    <t>BWURSS45-60</t>
  </si>
  <si>
    <t>BWURSS45-80</t>
  </si>
  <si>
    <t>FITTED SS SCREWS TO ABOVE HOLD SETS</t>
  </si>
  <si>
    <t>Full box weight:</t>
  </si>
  <si>
    <t>approx.</t>
  </si>
  <si>
    <r>
      <t xml:space="preserve">per unit </t>
    </r>
    <r>
      <rPr>
        <sz val="11"/>
        <color rgb="FFC00000"/>
        <rFont val="Calibri"/>
        <family val="2"/>
        <scheme val="minor"/>
      </rPr>
      <t>[OUT OF STOCK]</t>
    </r>
  </si>
  <si>
    <r>
      <t xml:space="preserve">Box of 1000 </t>
    </r>
    <r>
      <rPr>
        <sz val="11"/>
        <color rgb="FFC00000"/>
        <rFont val="Calibri"/>
        <family val="2"/>
        <scheme val="minor"/>
      </rPr>
      <t xml:space="preserve"> [OUT OF STOCK]</t>
    </r>
  </si>
  <si>
    <r>
      <t xml:space="preserve">Box of 1000  </t>
    </r>
    <r>
      <rPr>
        <sz val="11"/>
        <color rgb="FFC00000"/>
        <rFont val="Calibri"/>
        <family val="2"/>
        <scheme val="minor"/>
      </rPr>
      <t>[OUT OF STOCK]</t>
    </r>
  </si>
  <si>
    <t>FITTED SS BOLTS TO ABOVE HOLD SETS</t>
  </si>
  <si>
    <t xml:space="preserve">    STANDARD WURTH SCREWS (countersunk milling pocket head - RW20 internal drive required)</t>
  </si>
  <si>
    <t xml:space="preserve">    STAINLESS STEEL WURTH SCREWS (countersunk milling pocket head - RW20 internal drive required)</t>
  </si>
  <si>
    <t xml:space="preserve">    3/8" STAINLESS STEEL Grade 304 BOLTS</t>
  </si>
  <si>
    <t xml:space="preserve">    M10 STAINLESS STEEL Grade 304 BOLTS</t>
  </si>
  <si>
    <t>M00015</t>
  </si>
  <si>
    <t xml:space="preserve">    3/8" HT COUNTERSUNK BLACK BOLTS (not required for any TNUT holds!)</t>
  </si>
  <si>
    <t xml:space="preserve">    3/8" STAINLESS STEEL Grade 304 COUNTERSUNK BOLTS (not required for any TNUT holds!)</t>
  </si>
  <si>
    <t>1"3/4 flat head</t>
  </si>
  <si>
    <t>2" 1/4 flat head</t>
  </si>
  <si>
    <t>M00016</t>
  </si>
  <si>
    <t>35mm bolt</t>
  </si>
  <si>
    <t>75mm bolts</t>
  </si>
  <si>
    <t>80mm bolts</t>
  </si>
  <si>
    <t>90mm bolts</t>
  </si>
  <si>
    <t>100mm bolts</t>
  </si>
  <si>
    <t>120mm bolts</t>
  </si>
  <si>
    <t>G01001</t>
  </si>
  <si>
    <t>M00017</t>
  </si>
  <si>
    <t>M00020</t>
  </si>
  <si>
    <t>M00021</t>
  </si>
  <si>
    <t>C00025</t>
  </si>
  <si>
    <t>STANDARD Grey RAL 7001</t>
  </si>
  <si>
    <t>STANDARD Red RAL 3020</t>
  </si>
  <si>
    <t>STANDARD Green 16-16 or Pantone 7739C</t>
  </si>
  <si>
    <t>STANDARD Pink - Heather Violet RAL 4003</t>
  </si>
  <si>
    <t>110mm bolts</t>
  </si>
  <si>
    <t>140mm bolts</t>
  </si>
  <si>
    <t>160mm bolts</t>
  </si>
  <si>
    <t>FLUORO Orange [out of stock]</t>
  </si>
  <si>
    <t>BASIC Light Red (~ RAL 3028) [low stock only]</t>
  </si>
  <si>
    <t xml:space="preserve">IN-HOUSE Mustard </t>
  </si>
  <si>
    <t>IN-HOUSE Rust</t>
  </si>
  <si>
    <t>IN-HOUSE Mint</t>
  </si>
  <si>
    <t>FLUORO Blue [limited stock]</t>
  </si>
  <si>
    <t>IN-HOUSE Sherbet</t>
  </si>
  <si>
    <t>IN-HOUSE Lavender</t>
  </si>
  <si>
    <t>IN-HOUSE TNUT's Green Pantone 3275C</t>
  </si>
  <si>
    <t>BASIC Light Blue (~ Pantone 2185 C)</t>
  </si>
  <si>
    <t>BASIC Dark Blue</t>
  </si>
  <si>
    <t>G00004</t>
  </si>
  <si>
    <t>C00026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</si>
</sst>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$&quot;#,##0;[Red]\-&quot;$&quot;#,##0"/>
    <numFmt numFmtId="44" formatCode="_-&quot;$&quot;* #,##0.00_-;\-&quot;$&quot;* #,##0.00_-;_-&quot;$&quot;* &quot;-&quot;??_-;_-@_-"/>
    <numFmt numFmtId="164" formatCode="_-[$$-C09]* #,##0.00_-;\-[$$-C09]* #,##0.00_-;_-[$$-C09]* &quot;-&quot;??_-;_-@_-"/>
    <numFmt numFmtId="165" formatCode="&quot;$&quot;#,##0.00"/>
    <numFmt numFmtId="166" formatCode="&quot;$&quot;#,##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3.5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3.5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1"/>
      <name val="Times New Roman"/>
      <family val="1"/>
    </font>
    <font>
      <sz val="11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" tint="4.9989318521683403E-2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4.9989318521683403E-2"/>
        <bgColor theme="0" tint="-0.14999847407452621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theme="0" tint="-0.14999847407452621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1">
    <xf numFmtId="0" fontId="0" fillId="0" borderId="0" xfId="0"/>
    <xf numFmtId="0" fontId="2" fillId="0" borderId="0" xfId="0" applyFont="1"/>
    <xf numFmtId="0" fontId="0" fillId="0" borderId="0" xfId="0" applyFont="1"/>
    <xf numFmtId="0" fontId="0" fillId="0" borderId="0" xfId="0" applyProtection="1"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4" fillId="2" borderId="0" xfId="0" applyFont="1" applyFill="1" applyAlignment="1" applyProtection="1">
      <alignment vertical="center"/>
      <protection hidden="1"/>
    </xf>
    <xf numFmtId="165" fontId="4" fillId="2" borderId="0" xfId="0" applyNumberFormat="1" applyFont="1" applyFill="1" applyAlignment="1" applyProtection="1">
      <alignment horizontal="right" vertical="center"/>
      <protection hidden="1"/>
    </xf>
    <xf numFmtId="0" fontId="11" fillId="2" borderId="0" xfId="0" applyFont="1" applyFill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0" fillId="0" borderId="1" xfId="0" applyBorder="1" applyAlignment="1" applyProtection="1">
      <alignment horizontal="left" vertical="center"/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164" fontId="14" fillId="0" borderId="1" xfId="0" applyNumberFormat="1" applyFont="1" applyBorder="1" applyAlignment="1" applyProtection="1">
      <alignment horizontal="center" vertical="center"/>
      <protection hidden="1"/>
    </xf>
    <xf numFmtId="166" fontId="2" fillId="0" borderId="1" xfId="1" applyNumberFormat="1" applyFont="1" applyBorder="1" applyAlignment="1" applyProtection="1">
      <alignment horizontal="right" vertical="center"/>
      <protection hidden="1"/>
    </xf>
    <xf numFmtId="0" fontId="0" fillId="0" borderId="1" xfId="0" applyBorder="1" applyAlignment="1" applyProtection="1">
      <alignment vertical="center"/>
      <protection hidden="1"/>
    </xf>
    <xf numFmtId="165" fontId="0" fillId="0" borderId="1" xfId="0" applyNumberFormat="1" applyBorder="1" applyAlignment="1" applyProtection="1">
      <alignment vertical="center"/>
      <protection hidden="1"/>
    </xf>
    <xf numFmtId="0" fontId="0" fillId="0" borderId="1" xfId="0" applyNumberFormat="1" applyBorder="1" applyAlignment="1" applyProtection="1">
      <alignment vertical="center"/>
      <protection hidden="1"/>
    </xf>
    <xf numFmtId="0" fontId="0" fillId="0" borderId="0" xfId="0" applyNumberFormat="1" applyBorder="1" applyAlignment="1" applyProtection="1">
      <alignment vertical="center"/>
      <protection hidden="1"/>
    </xf>
    <xf numFmtId="0" fontId="0" fillId="0" borderId="0" xfId="0" applyBorder="1" applyAlignment="1" applyProtection="1">
      <alignment vertical="center"/>
      <protection hidden="1"/>
    </xf>
    <xf numFmtId="0" fontId="0" fillId="0" borderId="0" xfId="0" applyAlignment="1" applyProtection="1">
      <alignment horizontal="right" vertical="center"/>
      <protection hidden="1"/>
    </xf>
    <xf numFmtId="164" fontId="5" fillId="0" borderId="1" xfId="0" applyNumberFormat="1" applyFont="1" applyBorder="1" applyAlignment="1" applyProtection="1">
      <alignment horizontal="center" vertical="center"/>
      <protection hidden="1"/>
    </xf>
    <xf numFmtId="164" fontId="8" fillId="0" borderId="1" xfId="0" applyNumberFormat="1" applyFont="1" applyBorder="1" applyAlignment="1" applyProtection="1">
      <alignment horizontal="center" vertical="center"/>
      <protection hidden="1"/>
    </xf>
    <xf numFmtId="164" fontId="9" fillId="0" borderId="1" xfId="0" applyNumberFormat="1" applyFont="1" applyBorder="1" applyAlignment="1" applyProtection="1">
      <alignment horizontal="center" vertical="center"/>
      <protection hidden="1"/>
    </xf>
    <xf numFmtId="0" fontId="15" fillId="2" borderId="1" xfId="0" applyFont="1" applyFill="1" applyBorder="1" applyAlignment="1" applyProtection="1">
      <alignment horizontal="center" vertical="center"/>
      <protection hidden="1"/>
    </xf>
    <xf numFmtId="164" fontId="15" fillId="2" borderId="1" xfId="0" applyNumberFormat="1" applyFont="1" applyFill="1" applyBorder="1" applyAlignment="1" applyProtection="1">
      <alignment horizontal="center" vertical="center"/>
      <protection hidden="1"/>
    </xf>
    <xf numFmtId="44" fontId="15" fillId="2" borderId="1" xfId="1" applyFont="1" applyFill="1" applyBorder="1" applyAlignment="1" applyProtection="1">
      <alignment horizontal="right" vertical="center"/>
      <protection hidden="1"/>
    </xf>
    <xf numFmtId="165" fontId="15" fillId="2" borderId="1" xfId="0" applyNumberFormat="1" applyFont="1" applyFill="1" applyBorder="1" applyAlignment="1" applyProtection="1">
      <alignment vertical="center"/>
      <protection hidden="1"/>
    </xf>
    <xf numFmtId="0" fontId="15" fillId="2" borderId="1" xfId="0" applyNumberFormat="1" applyFont="1" applyFill="1" applyBorder="1" applyAlignment="1" applyProtection="1">
      <alignment vertical="center"/>
      <protection hidden="1"/>
    </xf>
    <xf numFmtId="0" fontId="15" fillId="2" borderId="0" xfId="0" applyNumberFormat="1" applyFont="1" applyFill="1" applyBorder="1" applyAlignment="1" applyProtection="1">
      <alignment vertical="center"/>
      <protection hidden="1"/>
    </xf>
    <xf numFmtId="0" fontId="15" fillId="2" borderId="0" xfId="0" applyFont="1" applyFill="1" applyBorder="1" applyAlignment="1" applyProtection="1">
      <alignment vertical="center"/>
      <protection hidden="1"/>
    </xf>
    <xf numFmtId="0" fontId="15" fillId="2" borderId="0" xfId="0" applyFont="1" applyFill="1" applyBorder="1" applyAlignment="1" applyProtection="1">
      <alignment horizontal="right" vertical="center"/>
      <protection hidden="1"/>
    </xf>
    <xf numFmtId="0" fontId="0" fillId="0" borderId="0" xfId="0" applyFill="1" applyAlignment="1" applyProtection="1">
      <alignment horizontal="right" vertical="center"/>
      <protection hidden="1"/>
    </xf>
    <xf numFmtId="164" fontId="20" fillId="0" borderId="1" xfId="0" applyNumberFormat="1" applyFont="1" applyBorder="1" applyAlignment="1" applyProtection="1">
      <alignment horizontal="center" vertical="center"/>
      <protection hidden="1"/>
    </xf>
    <xf numFmtId="6" fontId="15" fillId="2" borderId="1" xfId="1" applyNumberFormat="1" applyFont="1" applyFill="1" applyBorder="1" applyAlignment="1" applyProtection="1">
      <alignment horizontal="right" vertical="center"/>
      <protection hidden="1"/>
    </xf>
    <xf numFmtId="0" fontId="15" fillId="2" borderId="1" xfId="0" applyFont="1" applyFill="1" applyBorder="1" applyAlignment="1" applyProtection="1">
      <alignment vertical="center"/>
      <protection hidden="1"/>
    </xf>
    <xf numFmtId="0" fontId="0" fillId="0" borderId="1" xfId="0" applyBorder="1" applyProtection="1">
      <protection hidden="1"/>
    </xf>
    <xf numFmtId="0" fontId="0" fillId="0" borderId="0" xfId="0" applyBorder="1" applyAlignment="1" applyProtection="1">
      <alignment horizontal="right" vertical="center"/>
      <protection hidden="1"/>
    </xf>
    <xf numFmtId="0" fontId="0" fillId="0" borderId="0" xfId="0" applyNumberFormat="1" applyBorder="1" applyAlignment="1" applyProtection="1">
      <alignment horizontal="right" vertical="center"/>
      <protection hidden="1"/>
    </xf>
    <xf numFmtId="0" fontId="6" fillId="4" borderId="5" xfId="0" applyFont="1" applyFill="1" applyBorder="1" applyAlignment="1" applyProtection="1">
      <alignment horizontal="center" vertical="center"/>
      <protection hidden="1"/>
    </xf>
    <xf numFmtId="164" fontId="6" fillId="4" borderId="5" xfId="0" applyNumberFormat="1" applyFont="1" applyFill="1" applyBorder="1" applyAlignment="1" applyProtection="1">
      <alignment horizontal="center" vertical="center" wrapText="1"/>
      <protection hidden="1"/>
    </xf>
    <xf numFmtId="44" fontId="6" fillId="4" borderId="5" xfId="1" applyFont="1" applyFill="1" applyBorder="1" applyAlignment="1" applyProtection="1">
      <alignment horizontal="right" vertical="center" wrapText="1"/>
      <protection hidden="1"/>
    </xf>
    <xf numFmtId="0" fontId="6" fillId="4" borderId="5" xfId="0" applyFont="1" applyFill="1" applyBorder="1" applyAlignment="1" applyProtection="1">
      <alignment vertical="center"/>
      <protection hidden="1"/>
    </xf>
    <xf numFmtId="165" fontId="6" fillId="4" borderId="5" xfId="0" applyNumberFormat="1" applyFont="1" applyFill="1" applyBorder="1" applyAlignment="1" applyProtection="1">
      <alignment vertical="center"/>
      <protection hidden="1"/>
    </xf>
    <xf numFmtId="165" fontId="6" fillId="4" borderId="5" xfId="0" applyNumberFormat="1" applyFont="1" applyFill="1" applyBorder="1" applyAlignment="1" applyProtection="1">
      <alignment horizontal="right" vertical="center"/>
      <protection hidden="1"/>
    </xf>
    <xf numFmtId="0" fontId="6" fillId="5" borderId="0" xfId="0" applyFont="1" applyFill="1" applyBorder="1" applyAlignment="1" applyProtection="1">
      <alignment horizontal="left" vertical="center"/>
      <protection hidden="1"/>
    </xf>
    <xf numFmtId="0" fontId="6" fillId="5" borderId="0" xfId="0" applyFont="1" applyFill="1" applyBorder="1" applyAlignment="1" applyProtection="1">
      <alignment horizontal="center" vertical="center"/>
      <protection hidden="1"/>
    </xf>
    <xf numFmtId="164" fontId="3" fillId="5" borderId="0" xfId="0" applyNumberFormat="1" applyFont="1" applyFill="1" applyBorder="1" applyAlignment="1" applyProtection="1">
      <alignment horizontal="center" vertical="center"/>
      <protection hidden="1"/>
    </xf>
    <xf numFmtId="44" fontId="0" fillId="5" borderId="0" xfId="1" applyFont="1" applyFill="1" applyBorder="1" applyAlignment="1" applyProtection="1">
      <alignment horizontal="right" vertical="center"/>
      <protection hidden="1"/>
    </xf>
    <xf numFmtId="0" fontId="6" fillId="5" borderId="0" xfId="0" applyFont="1" applyFill="1" applyBorder="1" applyAlignment="1" applyProtection="1">
      <alignment vertical="center"/>
      <protection hidden="1"/>
    </xf>
    <xf numFmtId="165" fontId="6" fillId="5" borderId="0" xfId="0" applyNumberFormat="1" applyFont="1" applyFill="1" applyBorder="1" applyAlignment="1" applyProtection="1">
      <alignment vertical="center"/>
      <protection hidden="1"/>
    </xf>
    <xf numFmtId="165" fontId="6" fillId="5" borderId="0" xfId="0" applyNumberFormat="1" applyFont="1" applyFill="1" applyBorder="1" applyAlignment="1" applyProtection="1">
      <alignment horizontal="right" vertical="center"/>
      <protection hidden="1"/>
    </xf>
    <xf numFmtId="0" fontId="0" fillId="0" borderId="6" xfId="0" applyFill="1" applyBorder="1" applyAlignment="1" applyProtection="1">
      <alignment horizontal="left" vertical="center"/>
      <protection hidden="1"/>
    </xf>
    <xf numFmtId="0" fontId="0" fillId="0" borderId="6" xfId="0" applyFill="1" applyBorder="1" applyAlignment="1" applyProtection="1">
      <alignment horizontal="center" vertical="center"/>
      <protection hidden="1"/>
    </xf>
    <xf numFmtId="164" fontId="9" fillId="0" borderId="6" xfId="0" applyNumberFormat="1" applyFont="1" applyFill="1" applyBorder="1" applyAlignment="1" applyProtection="1">
      <alignment horizontal="center" vertical="center"/>
      <protection hidden="1"/>
    </xf>
    <xf numFmtId="165" fontId="2" fillId="0" borderId="6" xfId="1" applyNumberFormat="1" applyFont="1" applyFill="1" applyBorder="1" applyAlignment="1" applyProtection="1">
      <alignment horizontal="right" vertical="center"/>
      <protection hidden="1"/>
    </xf>
    <xf numFmtId="0" fontId="0" fillId="0" borderId="6" xfId="0" applyFont="1" applyFill="1" applyBorder="1" applyAlignment="1" applyProtection="1">
      <alignment vertical="center"/>
      <protection hidden="1"/>
    </xf>
    <xf numFmtId="165" fontId="0" fillId="0" borderId="6" xfId="0" applyNumberFormat="1" applyFill="1" applyBorder="1" applyAlignment="1" applyProtection="1">
      <alignment vertical="center"/>
      <protection hidden="1"/>
    </xf>
    <xf numFmtId="0" fontId="0" fillId="0" borderId="3" xfId="0" applyNumberFormat="1" applyBorder="1" applyAlignment="1" applyProtection="1">
      <alignment vertical="center"/>
      <protection hidden="1"/>
    </xf>
    <xf numFmtId="165" fontId="7" fillId="0" borderId="6" xfId="1" applyNumberFormat="1" applyFont="1" applyFill="1" applyBorder="1" applyAlignment="1" applyProtection="1">
      <alignment horizontal="right" vertical="center"/>
      <protection hidden="1"/>
    </xf>
    <xf numFmtId="0" fontId="13" fillId="0" borderId="1" xfId="0" applyFont="1" applyFill="1" applyBorder="1" applyAlignment="1" applyProtection="1">
      <alignment vertical="center"/>
      <protection hidden="1"/>
    </xf>
    <xf numFmtId="0" fontId="0" fillId="0" borderId="1" xfId="0" applyFill="1" applyBorder="1" applyAlignment="1" applyProtection="1">
      <alignment horizontal="left" vertical="center"/>
      <protection hidden="1"/>
    </xf>
    <xf numFmtId="0" fontId="0" fillId="0" borderId="1" xfId="0" applyFill="1" applyBorder="1" applyAlignment="1" applyProtection="1">
      <alignment horizontal="center" vertical="center"/>
      <protection hidden="1"/>
    </xf>
    <xf numFmtId="164" fontId="5" fillId="0" borderId="1" xfId="0" applyNumberFormat="1" applyFont="1" applyFill="1" applyBorder="1" applyAlignment="1" applyProtection="1">
      <alignment horizontal="center" vertical="center"/>
      <protection hidden="1"/>
    </xf>
    <xf numFmtId="166" fontId="7" fillId="0" borderId="1" xfId="1" applyNumberFormat="1" applyFont="1" applyFill="1" applyBorder="1" applyAlignment="1" applyProtection="1">
      <alignment horizontal="right" vertical="center"/>
      <protection hidden="1"/>
    </xf>
    <xf numFmtId="0" fontId="13" fillId="0" borderId="1" xfId="0" applyFont="1" applyFill="1" applyBorder="1" applyProtection="1">
      <protection hidden="1"/>
    </xf>
    <xf numFmtId="0" fontId="0" fillId="0" borderId="1" xfId="0" applyFont="1" applyFill="1" applyBorder="1" applyAlignment="1" applyProtection="1">
      <alignment horizontal="left" vertical="center"/>
      <protection hidden="1"/>
    </xf>
    <xf numFmtId="0" fontId="0" fillId="0" borderId="1" xfId="0" applyFont="1" applyFill="1" applyBorder="1" applyAlignment="1" applyProtection="1">
      <alignment horizontal="center" vertical="center"/>
      <protection hidden="1"/>
    </xf>
    <xf numFmtId="164" fontId="3" fillId="0" borderId="1" xfId="0" applyNumberFormat="1" applyFont="1" applyFill="1" applyBorder="1" applyAlignment="1" applyProtection="1">
      <alignment horizontal="center" vertical="center"/>
      <protection hidden="1"/>
    </xf>
    <xf numFmtId="165" fontId="7" fillId="0" borderId="1" xfId="1" applyNumberFormat="1" applyFont="1" applyFill="1" applyBorder="1" applyAlignment="1" applyProtection="1">
      <alignment horizontal="right" vertical="center"/>
      <protection hidden="1"/>
    </xf>
    <xf numFmtId="0" fontId="0" fillId="0" borderId="0" xfId="0" applyFont="1" applyFill="1" applyBorder="1" applyAlignment="1" applyProtection="1">
      <alignment horizontal="center" vertical="center"/>
      <protection hidden="1"/>
    </xf>
    <xf numFmtId="0" fontId="13" fillId="0" borderId="6" xfId="0" applyFont="1" applyFill="1" applyBorder="1" applyAlignment="1" applyProtection="1">
      <alignment vertical="center"/>
      <protection hidden="1"/>
    </xf>
    <xf numFmtId="0" fontId="6" fillId="5" borderId="1" xfId="0" applyFont="1" applyFill="1" applyBorder="1" applyAlignment="1" applyProtection="1">
      <alignment horizontal="left" vertical="center"/>
      <protection hidden="1"/>
    </xf>
    <xf numFmtId="0" fontId="0" fillId="0" borderId="0" xfId="0" applyFill="1" applyBorder="1" applyAlignment="1" applyProtection="1">
      <alignment horizontal="center" vertical="center"/>
      <protection hidden="1"/>
    </xf>
    <xf numFmtId="164" fontId="3" fillId="0" borderId="0" xfId="0" applyNumberFormat="1" applyFont="1" applyFill="1" applyBorder="1" applyAlignment="1" applyProtection="1">
      <alignment horizontal="center" vertical="center"/>
      <protection hidden="1"/>
    </xf>
    <xf numFmtId="165" fontId="2" fillId="0" borderId="0" xfId="1" applyNumberFormat="1" applyFont="1" applyFill="1" applyBorder="1" applyAlignment="1" applyProtection="1">
      <alignment horizontal="right" vertical="center"/>
      <protection hidden="1"/>
    </xf>
    <xf numFmtId="0" fontId="13" fillId="0" borderId="0" xfId="0" applyFont="1" applyFill="1" applyBorder="1" applyAlignment="1" applyProtection="1">
      <alignment vertical="center"/>
      <protection hidden="1"/>
    </xf>
    <xf numFmtId="165" fontId="0" fillId="0" borderId="0" xfId="0" applyNumberFormat="1" applyFill="1" applyBorder="1" applyAlignment="1" applyProtection="1">
      <alignment vertical="center"/>
      <protection hidden="1"/>
    </xf>
    <xf numFmtId="0" fontId="6" fillId="11" borderId="1" xfId="0" applyFont="1" applyFill="1" applyBorder="1" applyAlignment="1" applyProtection="1">
      <alignment horizontal="left" vertical="center"/>
      <protection hidden="1"/>
    </xf>
    <xf numFmtId="0" fontId="6" fillId="11" borderId="0" xfId="0" applyFont="1" applyFill="1" applyBorder="1" applyAlignment="1" applyProtection="1">
      <alignment horizontal="center" vertical="center"/>
      <protection hidden="1"/>
    </xf>
    <xf numFmtId="164" fontId="3" fillId="11" borderId="0" xfId="0" applyNumberFormat="1" applyFont="1" applyFill="1" applyBorder="1" applyAlignment="1" applyProtection="1">
      <alignment horizontal="center" vertical="center"/>
      <protection hidden="1"/>
    </xf>
    <xf numFmtId="44" fontId="0" fillId="11" borderId="0" xfId="1" applyFont="1" applyFill="1" applyBorder="1" applyAlignment="1" applyProtection="1">
      <alignment horizontal="right" vertical="center"/>
      <protection hidden="1"/>
    </xf>
    <xf numFmtId="0" fontId="6" fillId="11" borderId="0" xfId="0" applyFont="1" applyFill="1" applyBorder="1" applyAlignment="1" applyProtection="1">
      <alignment vertical="center"/>
      <protection hidden="1"/>
    </xf>
    <xf numFmtId="165" fontId="6" fillId="11" borderId="0" xfId="0" applyNumberFormat="1" applyFont="1" applyFill="1" applyBorder="1" applyAlignment="1" applyProtection="1">
      <alignment vertical="center"/>
      <protection hidden="1"/>
    </xf>
    <xf numFmtId="165" fontId="6" fillId="11" borderId="0" xfId="0" applyNumberFormat="1" applyFont="1" applyFill="1" applyBorder="1" applyAlignment="1" applyProtection="1">
      <alignment horizontal="right" vertical="center"/>
      <protection hidden="1"/>
    </xf>
    <xf numFmtId="165" fontId="2" fillId="0" borderId="1" xfId="1" applyNumberFormat="1" applyFont="1" applyFill="1" applyBorder="1" applyAlignment="1" applyProtection="1">
      <alignment horizontal="right" vertical="center"/>
      <protection hidden="1"/>
    </xf>
    <xf numFmtId="165" fontId="0" fillId="0" borderId="6" xfId="0" applyNumberFormat="1" applyFont="1" applyFill="1" applyBorder="1" applyAlignment="1" applyProtection="1">
      <alignment vertical="center"/>
      <protection hidden="1"/>
    </xf>
    <xf numFmtId="0" fontId="0" fillId="0" borderId="0" xfId="0" applyFill="1" applyProtection="1">
      <protection hidden="1"/>
    </xf>
    <xf numFmtId="0" fontId="0" fillId="0" borderId="0" xfId="0" applyFont="1" applyFill="1" applyBorder="1" applyAlignment="1" applyProtection="1">
      <alignment vertical="center"/>
      <protection hidden="1"/>
    </xf>
    <xf numFmtId="165" fontId="0" fillId="0" borderId="0" xfId="0" applyNumberFormat="1" applyFont="1" applyFill="1" applyBorder="1" applyAlignment="1" applyProtection="1">
      <alignment vertical="center"/>
      <protection hidden="1"/>
    </xf>
    <xf numFmtId="164" fontId="20" fillId="0" borderId="0" xfId="0" applyNumberFormat="1" applyFont="1" applyFill="1" applyBorder="1" applyAlignment="1" applyProtection="1">
      <alignment horizontal="center" vertical="center"/>
      <protection hidden="1"/>
    </xf>
    <xf numFmtId="0" fontId="6" fillId="9" borderId="1" xfId="0" applyFont="1" applyFill="1" applyBorder="1" applyAlignment="1" applyProtection="1">
      <alignment horizontal="left" vertical="center"/>
      <protection hidden="1"/>
    </xf>
    <xf numFmtId="0" fontId="6" fillId="9" borderId="0" xfId="0" applyFont="1" applyFill="1" applyBorder="1" applyAlignment="1" applyProtection="1">
      <alignment horizontal="center" vertical="center"/>
      <protection hidden="1"/>
    </xf>
    <xf numFmtId="164" fontId="3" fillId="9" borderId="0" xfId="0" applyNumberFormat="1" applyFont="1" applyFill="1" applyBorder="1" applyAlignment="1" applyProtection="1">
      <alignment horizontal="center" vertical="center"/>
      <protection hidden="1"/>
    </xf>
    <xf numFmtId="44" fontId="0" fillId="9" borderId="0" xfId="1" applyFont="1" applyFill="1" applyBorder="1" applyAlignment="1" applyProtection="1">
      <alignment horizontal="right" vertical="center"/>
      <protection hidden="1"/>
    </xf>
    <xf numFmtId="0" fontId="6" fillId="9" borderId="0" xfId="0" applyFont="1" applyFill="1" applyBorder="1" applyAlignment="1" applyProtection="1">
      <alignment vertical="center"/>
      <protection hidden="1"/>
    </xf>
    <xf numFmtId="165" fontId="6" fillId="9" borderId="0" xfId="0" applyNumberFormat="1" applyFont="1" applyFill="1" applyBorder="1" applyAlignment="1" applyProtection="1">
      <alignment vertical="center"/>
      <protection hidden="1"/>
    </xf>
    <xf numFmtId="165" fontId="6" fillId="9" borderId="0" xfId="0" applyNumberFormat="1" applyFont="1" applyFill="1" applyBorder="1" applyAlignment="1" applyProtection="1">
      <alignment horizontal="right" vertical="center"/>
      <protection hidden="1"/>
    </xf>
    <xf numFmtId="164" fontId="19" fillId="0" borderId="0" xfId="0" applyNumberFormat="1" applyFont="1" applyFill="1" applyBorder="1" applyAlignment="1" applyProtection="1">
      <alignment horizontal="center" vertical="center"/>
      <protection hidden="1"/>
    </xf>
    <xf numFmtId="0" fontId="6" fillId="12" borderId="1" xfId="0" applyFont="1" applyFill="1" applyBorder="1" applyAlignment="1" applyProtection="1">
      <alignment horizontal="left" vertical="center"/>
      <protection hidden="1"/>
    </xf>
    <xf numFmtId="0" fontId="6" fillId="12" borderId="0" xfId="0" applyFont="1" applyFill="1" applyBorder="1" applyAlignment="1" applyProtection="1">
      <alignment horizontal="center" vertical="center"/>
      <protection hidden="1"/>
    </xf>
    <xf numFmtId="164" fontId="3" fillId="12" borderId="0" xfId="0" applyNumberFormat="1" applyFont="1" applyFill="1" applyBorder="1" applyAlignment="1" applyProtection="1">
      <alignment horizontal="center" vertical="center"/>
      <protection hidden="1"/>
    </xf>
    <xf numFmtId="44" fontId="0" fillId="12" borderId="0" xfId="1" applyFont="1" applyFill="1" applyBorder="1" applyAlignment="1" applyProtection="1">
      <alignment horizontal="right" vertical="center"/>
      <protection hidden="1"/>
    </xf>
    <xf numFmtId="0" fontId="6" fillId="12" borderId="0" xfId="0" applyFont="1" applyFill="1" applyBorder="1" applyAlignment="1" applyProtection="1">
      <alignment vertical="center"/>
      <protection hidden="1"/>
    </xf>
    <xf numFmtId="165" fontId="6" fillId="12" borderId="0" xfId="0" applyNumberFormat="1" applyFont="1" applyFill="1" applyBorder="1" applyAlignment="1" applyProtection="1">
      <alignment vertical="center"/>
      <protection hidden="1"/>
    </xf>
    <xf numFmtId="165" fontId="6" fillId="12" borderId="0" xfId="0" applyNumberFormat="1" applyFont="1" applyFill="1" applyBorder="1" applyAlignment="1" applyProtection="1">
      <alignment horizontal="right" vertical="center"/>
      <protection hidden="1"/>
    </xf>
    <xf numFmtId="0" fontId="0" fillId="0" borderId="5" xfId="0" applyFont="1" applyFill="1" applyBorder="1" applyAlignment="1" applyProtection="1">
      <alignment horizontal="left" vertical="center"/>
      <protection hidden="1"/>
    </xf>
    <xf numFmtId="0" fontId="0" fillId="0" borderId="5" xfId="0" applyFont="1" applyFill="1" applyBorder="1" applyAlignment="1" applyProtection="1">
      <alignment horizontal="center" vertical="center"/>
      <protection hidden="1"/>
    </xf>
    <xf numFmtId="164" fontId="16" fillId="0" borderId="5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Border="1" applyAlignment="1" applyProtection="1">
      <alignment horizontal="left" vertical="center"/>
      <protection hidden="1"/>
    </xf>
    <xf numFmtId="44" fontId="6" fillId="0" borderId="5" xfId="1" applyFont="1" applyFill="1" applyBorder="1" applyAlignment="1" applyProtection="1">
      <alignment horizontal="right" vertical="center"/>
      <protection hidden="1"/>
    </xf>
    <xf numFmtId="0" fontId="0" fillId="0" borderId="9" xfId="0" applyFont="1" applyFill="1" applyBorder="1" applyAlignment="1" applyProtection="1">
      <alignment vertical="center"/>
      <protection hidden="1"/>
    </xf>
    <xf numFmtId="165" fontId="0" fillId="0" borderId="9" xfId="0" applyNumberFormat="1" applyFont="1" applyFill="1" applyBorder="1" applyAlignment="1" applyProtection="1">
      <alignment vertical="center"/>
      <protection hidden="1"/>
    </xf>
    <xf numFmtId="0" fontId="0" fillId="0" borderId="10" xfId="0" applyNumberFormat="1" applyBorder="1" applyAlignment="1" applyProtection="1">
      <alignment horizontal="right" vertical="center"/>
      <protection hidden="1"/>
    </xf>
    <xf numFmtId="44" fontId="17" fillId="0" borderId="5" xfId="1" applyFont="1" applyFill="1" applyBorder="1" applyAlignment="1" applyProtection="1">
      <alignment horizontal="right" vertical="center"/>
      <protection hidden="1"/>
    </xf>
    <xf numFmtId="0" fontId="0" fillId="0" borderId="10" xfId="0" applyNumberFormat="1" applyBorder="1" applyAlignment="1" applyProtection="1">
      <alignment vertical="center"/>
      <protection hidden="1"/>
    </xf>
    <xf numFmtId="164" fontId="22" fillId="0" borderId="5" xfId="0" applyNumberFormat="1" applyFont="1" applyFill="1" applyBorder="1" applyAlignment="1" applyProtection="1">
      <alignment horizontal="center" vertical="center"/>
      <protection hidden="1"/>
    </xf>
    <xf numFmtId="164" fontId="14" fillId="4" borderId="5" xfId="0" applyNumberFormat="1" applyFont="1" applyFill="1" applyBorder="1" applyAlignment="1" applyProtection="1">
      <alignment horizontal="center" vertical="center" wrapText="1"/>
      <protection hidden="1"/>
    </xf>
    <xf numFmtId="0" fontId="6" fillId="4" borderId="5" xfId="0" applyNumberFormat="1" applyFont="1" applyFill="1" applyBorder="1" applyAlignment="1" applyProtection="1">
      <alignment vertical="center"/>
      <protection hidden="1"/>
    </xf>
    <xf numFmtId="6" fontId="0" fillId="0" borderId="1" xfId="0" applyNumberFormat="1" applyFont="1" applyFill="1" applyBorder="1" applyAlignment="1" applyProtection="1">
      <alignment horizontal="left" vertical="top" wrapText="1"/>
      <protection hidden="1"/>
    </xf>
    <xf numFmtId="0" fontId="0" fillId="0" borderId="1" xfId="0" applyFont="1" applyFill="1" applyBorder="1" applyAlignment="1" applyProtection="1">
      <alignment horizontal="left" vertical="top"/>
      <protection hidden="1"/>
    </xf>
    <xf numFmtId="164" fontId="14" fillId="0" borderId="1" xfId="0" applyNumberFormat="1" applyFont="1" applyFill="1" applyBorder="1" applyAlignment="1" applyProtection="1">
      <alignment horizontal="center" vertical="top"/>
      <protection hidden="1"/>
    </xf>
    <xf numFmtId="165" fontId="2" fillId="0" borderId="1" xfId="1" applyNumberFormat="1" applyFont="1" applyFill="1" applyBorder="1" applyAlignment="1" applyProtection="1">
      <alignment horizontal="right" vertical="top"/>
      <protection hidden="1"/>
    </xf>
    <xf numFmtId="0" fontId="0" fillId="0" borderId="6" xfId="0" applyFont="1" applyFill="1" applyBorder="1" applyAlignment="1" applyProtection="1">
      <alignment vertical="top" wrapText="1"/>
      <protection hidden="1"/>
    </xf>
    <xf numFmtId="165" fontId="0" fillId="0" borderId="6" xfId="0" applyNumberFormat="1" applyFont="1" applyFill="1" applyBorder="1" applyAlignment="1" applyProtection="1">
      <alignment vertical="top"/>
      <protection hidden="1"/>
    </xf>
    <xf numFmtId="0" fontId="0" fillId="0" borderId="3" xfId="0" applyNumberFormat="1" applyBorder="1" applyAlignment="1" applyProtection="1">
      <alignment vertical="top"/>
      <protection hidden="1"/>
    </xf>
    <xf numFmtId="0" fontId="0" fillId="0" borderId="0" xfId="0" applyNumberFormat="1" applyBorder="1" applyAlignment="1" applyProtection="1">
      <alignment vertical="top"/>
      <protection hidden="1"/>
    </xf>
    <xf numFmtId="0" fontId="0" fillId="0" borderId="0" xfId="0" applyNumberFormat="1" applyBorder="1" applyAlignment="1" applyProtection="1">
      <alignment horizontal="right" vertical="top"/>
      <protection hidden="1"/>
    </xf>
    <xf numFmtId="0" fontId="6" fillId="2" borderId="0" xfId="0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Border="1" applyAlignment="1" applyProtection="1">
      <alignment vertical="center"/>
      <protection hidden="1"/>
    </xf>
    <xf numFmtId="0" fontId="6" fillId="2" borderId="0" xfId="0" applyFont="1" applyFill="1" applyBorder="1" applyAlignment="1" applyProtection="1">
      <alignment horizontal="right" vertical="center"/>
      <protection hidden="1"/>
    </xf>
    <xf numFmtId="165" fontId="6" fillId="2" borderId="10" xfId="0" applyNumberFormat="1" applyFont="1" applyFill="1" applyBorder="1" applyAlignment="1" applyProtection="1">
      <alignment horizontal="right" vertical="center"/>
      <protection hidden="1"/>
    </xf>
    <xf numFmtId="0" fontId="6" fillId="2" borderId="1" xfId="0" applyFont="1" applyFill="1" applyBorder="1" applyAlignment="1" applyProtection="1">
      <alignment vertical="center"/>
      <protection hidden="1"/>
    </xf>
    <xf numFmtId="0" fontId="6" fillId="2" borderId="5" xfId="0" applyNumberFormat="1" applyFont="1" applyFill="1" applyBorder="1" applyAlignment="1" applyProtection="1">
      <alignment horizontal="right" vertical="center"/>
      <protection hidden="1"/>
    </xf>
    <xf numFmtId="0" fontId="6" fillId="2" borderId="5" xfId="0" applyFont="1" applyFill="1" applyBorder="1" applyAlignment="1" applyProtection="1">
      <alignment vertical="center"/>
      <protection hidden="1"/>
    </xf>
    <xf numFmtId="0" fontId="6" fillId="2" borderId="5" xfId="0" applyFont="1" applyFill="1" applyBorder="1" applyAlignment="1" applyProtection="1">
      <alignment horizontal="right" vertical="center"/>
      <protection hidden="1"/>
    </xf>
    <xf numFmtId="0" fontId="7" fillId="2" borderId="11" xfId="0" applyFont="1" applyFill="1" applyBorder="1" applyAlignment="1" applyProtection="1">
      <alignment horizontal="center" vertical="center"/>
      <protection hidden="1"/>
    </xf>
    <xf numFmtId="0" fontId="7" fillId="2" borderId="7" xfId="0" applyFont="1" applyFill="1" applyBorder="1" applyAlignment="1" applyProtection="1">
      <alignment horizontal="center" vertical="center"/>
      <protection hidden="1"/>
    </xf>
    <xf numFmtId="0" fontId="7" fillId="2" borderId="7" xfId="0" applyFont="1" applyFill="1" applyBorder="1" applyAlignment="1" applyProtection="1">
      <alignment vertical="center"/>
      <protection hidden="1"/>
    </xf>
    <xf numFmtId="0" fontId="6" fillId="2" borderId="8" xfId="0" applyFont="1" applyFill="1" applyBorder="1" applyAlignment="1" applyProtection="1">
      <alignment horizontal="right" vertical="center"/>
      <protection hidden="1"/>
    </xf>
    <xf numFmtId="0" fontId="6" fillId="2" borderId="1" xfId="0" applyNumberFormat="1" applyFont="1" applyFill="1" applyBorder="1" applyAlignment="1" applyProtection="1">
      <alignment horizontal="right" vertical="center"/>
      <protection hidden="1"/>
    </xf>
    <xf numFmtId="0" fontId="0" fillId="2" borderId="0" xfId="0" applyFill="1" applyAlignment="1" applyProtection="1">
      <alignment vertical="center"/>
      <protection hidden="1"/>
    </xf>
    <xf numFmtId="0" fontId="7" fillId="2" borderId="2" xfId="0" applyFont="1" applyFill="1" applyBorder="1" applyAlignment="1" applyProtection="1">
      <alignment horizontal="center" vertical="center"/>
      <protection hidden="1"/>
    </xf>
    <xf numFmtId="0" fontId="7" fillId="2" borderId="4" xfId="0" applyFont="1" applyFill="1" applyBorder="1" applyAlignment="1" applyProtection="1">
      <alignment horizontal="center" vertical="center"/>
      <protection hidden="1"/>
    </xf>
    <xf numFmtId="0" fontId="7" fillId="2" borderId="4" xfId="0" applyFont="1" applyFill="1" applyBorder="1" applyAlignment="1" applyProtection="1">
      <alignment vertical="center"/>
      <protection hidden="1"/>
    </xf>
    <xf numFmtId="0" fontId="6" fillId="2" borderId="3" xfId="0" applyFont="1" applyFill="1" applyBorder="1" applyAlignment="1" applyProtection="1">
      <alignment horizontal="right" vertical="center"/>
      <protection hidden="1"/>
    </xf>
    <xf numFmtId="165" fontId="6" fillId="2" borderId="1" xfId="0" applyNumberFormat="1" applyFont="1" applyFill="1" applyBorder="1" applyAlignment="1" applyProtection="1">
      <alignment vertical="center"/>
      <protection hidden="1"/>
    </xf>
    <xf numFmtId="0" fontId="6" fillId="2" borderId="1" xfId="0" applyFont="1" applyFill="1" applyBorder="1" applyAlignment="1" applyProtection="1">
      <alignment horizontal="left" vertical="center"/>
      <protection hidden="1"/>
    </xf>
    <xf numFmtId="0" fontId="6" fillId="2" borderId="2" xfId="0" applyFont="1" applyFill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vertical="center"/>
      <protection hidden="1"/>
    </xf>
    <xf numFmtId="0" fontId="6" fillId="2" borderId="4" xfId="0" applyFont="1" applyFill="1" applyBorder="1" applyAlignment="1" applyProtection="1">
      <alignment horizontal="right" vertical="center"/>
      <protection hidden="1"/>
    </xf>
    <xf numFmtId="0" fontId="6" fillId="2" borderId="1" xfId="0" applyFont="1" applyFill="1" applyBorder="1" applyAlignment="1" applyProtection="1">
      <alignment horizontal="right" vertical="center"/>
      <protection hidden="1"/>
    </xf>
    <xf numFmtId="165" fontId="6" fillId="2" borderId="1" xfId="0" applyNumberFormat="1" applyFont="1" applyFill="1" applyBorder="1" applyAlignment="1" applyProtection="1">
      <alignment horizontal="left" vertical="center"/>
      <protection hidden="1"/>
    </xf>
    <xf numFmtId="165" fontId="6" fillId="2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0" xfId="0" applyAlignment="1" applyProtection="1">
      <alignment horizontal="center"/>
      <protection hidden="1"/>
    </xf>
    <xf numFmtId="165" fontId="0" fillId="0" borderId="0" xfId="0" applyNumberFormat="1" applyProtection="1">
      <protection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0" fillId="0" borderId="1" xfId="0" applyBorder="1" applyAlignment="1" applyProtection="1">
      <alignment vertical="center"/>
      <protection locked="0" hidden="1"/>
    </xf>
    <xf numFmtId="0" fontId="0" fillId="0" borderId="6" xfId="0" applyFill="1" applyBorder="1" applyAlignment="1" applyProtection="1">
      <alignment horizontal="center" vertical="center"/>
      <protection locked="0" hidden="1"/>
    </xf>
    <xf numFmtId="0" fontId="0" fillId="0" borderId="1" xfId="0" applyFill="1" applyBorder="1" applyAlignment="1" applyProtection="1">
      <alignment horizontal="center" vertical="center"/>
      <protection locked="0" hidden="1"/>
    </xf>
    <xf numFmtId="0" fontId="0" fillId="0" borderId="1" xfId="0" applyFont="1" applyFill="1" applyBorder="1" applyAlignment="1" applyProtection="1">
      <alignment horizontal="center" vertical="center"/>
      <protection locked="0" hidden="1"/>
    </xf>
    <xf numFmtId="0" fontId="0" fillId="0" borderId="0" xfId="0" applyFill="1" applyBorder="1" applyAlignment="1" applyProtection="1">
      <alignment horizontal="center" vertical="center"/>
      <protection locked="0" hidden="1"/>
    </xf>
    <xf numFmtId="0" fontId="0" fillId="0" borderId="6" xfId="0" applyFont="1" applyFill="1" applyBorder="1" applyAlignment="1" applyProtection="1">
      <alignment horizontal="center" vertical="center"/>
      <protection locked="0" hidden="1"/>
    </xf>
    <xf numFmtId="0" fontId="0" fillId="0" borderId="6" xfId="0" applyFont="1" applyFill="1" applyBorder="1" applyAlignment="1" applyProtection="1">
      <alignment vertical="center"/>
      <protection locked="0" hidden="1"/>
    </xf>
    <xf numFmtId="0" fontId="0" fillId="0" borderId="0" xfId="0" applyFont="1" applyFill="1" applyBorder="1" applyAlignment="1" applyProtection="1">
      <alignment horizontal="center" vertical="center"/>
      <protection locked="0" hidden="1"/>
    </xf>
    <xf numFmtId="0" fontId="0" fillId="0" borderId="9" xfId="0" applyFont="1" applyFill="1" applyBorder="1" applyAlignment="1" applyProtection="1">
      <alignment horizontal="center" vertical="center"/>
      <protection locked="0" hidden="1"/>
    </xf>
    <xf numFmtId="0" fontId="0" fillId="0" borderId="6" xfId="0" applyFont="1" applyFill="1" applyBorder="1" applyAlignment="1" applyProtection="1">
      <alignment horizontal="center" vertical="top"/>
      <protection locked="0" hidden="1"/>
    </xf>
    <xf numFmtId="0" fontId="4" fillId="13" borderId="13" xfId="0" applyFont="1" applyFill="1" applyBorder="1" applyAlignment="1" applyProtection="1">
      <alignment horizontal="center" vertical="center"/>
      <protection hidden="1"/>
    </xf>
    <xf numFmtId="0" fontId="4" fillId="13" borderId="7" xfId="0" applyFont="1" applyFill="1" applyBorder="1" applyAlignment="1" applyProtection="1">
      <alignment horizontal="center" vertical="center"/>
      <protection hidden="1"/>
    </xf>
    <xf numFmtId="0" fontId="0" fillId="3" borderId="2" xfId="0" applyFont="1" applyFill="1" applyBorder="1" applyAlignment="1" applyProtection="1">
      <alignment horizontal="right" vertical="center"/>
      <protection hidden="1"/>
    </xf>
    <xf numFmtId="0" fontId="0" fillId="3" borderId="3" xfId="0" applyFont="1" applyFill="1" applyBorder="1" applyAlignment="1" applyProtection="1">
      <alignment horizontal="right" vertical="center"/>
      <protection hidden="1"/>
    </xf>
    <xf numFmtId="0" fontId="0" fillId="0" borderId="2" xfId="0" applyFont="1" applyBorder="1" applyAlignment="1" applyProtection="1">
      <alignment horizontal="right" vertical="center"/>
      <protection hidden="1"/>
    </xf>
    <xf numFmtId="0" fontId="0" fillId="0" borderId="3" xfId="0" applyFont="1" applyBorder="1" applyAlignment="1" applyProtection="1">
      <alignment horizontal="right" vertical="center"/>
      <protection hidden="1"/>
    </xf>
    <xf numFmtId="0" fontId="0" fillId="8" borderId="2" xfId="0" applyFont="1" applyFill="1" applyBorder="1" applyAlignment="1" applyProtection="1">
      <alignment horizontal="right" vertical="center"/>
      <protection hidden="1"/>
    </xf>
    <xf numFmtId="0" fontId="0" fillId="8" borderId="3" xfId="0" applyFont="1" applyFill="1" applyBorder="1" applyAlignment="1" applyProtection="1">
      <alignment horizontal="right" vertical="center"/>
      <protection hidden="1"/>
    </xf>
    <xf numFmtId="0" fontId="0" fillId="3" borderId="2" xfId="0" applyFont="1" applyFill="1" applyBorder="1" applyAlignment="1" applyProtection="1">
      <alignment horizontal="left" vertical="center"/>
      <protection locked="0" hidden="1"/>
    </xf>
    <xf numFmtId="0" fontId="0" fillId="3" borderId="4" xfId="0" applyFont="1" applyFill="1" applyBorder="1" applyAlignment="1" applyProtection="1">
      <alignment horizontal="left" vertical="center"/>
      <protection locked="0" hidden="1"/>
    </xf>
    <xf numFmtId="0" fontId="0" fillId="3" borderId="3" xfId="0" applyFont="1" applyFill="1" applyBorder="1" applyAlignment="1" applyProtection="1">
      <alignment horizontal="left" vertical="center"/>
      <protection locked="0" hidden="1"/>
    </xf>
    <xf numFmtId="0" fontId="0" fillId="0" borderId="2" xfId="0" applyFont="1" applyBorder="1" applyAlignment="1" applyProtection="1">
      <alignment horizontal="left" vertical="center"/>
      <protection locked="0" hidden="1"/>
    </xf>
    <xf numFmtId="0" fontId="0" fillId="0" borderId="4" xfId="0" applyFont="1" applyBorder="1" applyAlignment="1" applyProtection="1">
      <alignment horizontal="left" vertical="center"/>
      <protection locked="0" hidden="1"/>
    </xf>
    <xf numFmtId="0" fontId="0" fillId="0" borderId="3" xfId="0" applyFont="1" applyBorder="1" applyAlignment="1" applyProtection="1">
      <alignment horizontal="left" vertical="center"/>
      <protection locked="0" hidden="1"/>
    </xf>
    <xf numFmtId="0" fontId="10" fillId="10" borderId="14" xfId="0" applyFont="1" applyFill="1" applyBorder="1" applyAlignment="1" applyProtection="1">
      <alignment horizontal="center" vertical="center"/>
      <protection hidden="1"/>
    </xf>
    <xf numFmtId="0" fontId="10" fillId="10" borderId="0" xfId="0" applyFont="1" applyFill="1" applyAlignment="1" applyProtection="1">
      <alignment horizontal="center" vertical="center"/>
      <protection hidden="1"/>
    </xf>
    <xf numFmtId="0" fontId="0" fillId="6" borderId="2" xfId="0" applyFont="1" applyFill="1" applyBorder="1" applyAlignment="1" applyProtection="1">
      <alignment horizontal="right" vertical="center"/>
      <protection hidden="1"/>
    </xf>
    <xf numFmtId="0" fontId="0" fillId="6" borderId="3" xfId="0" applyFont="1" applyFill="1" applyBorder="1" applyAlignment="1" applyProtection="1">
      <alignment horizontal="right" vertical="center"/>
      <protection hidden="1"/>
    </xf>
    <xf numFmtId="0" fontId="0" fillId="6" borderId="2" xfId="0" applyFont="1" applyFill="1" applyBorder="1" applyAlignment="1" applyProtection="1">
      <alignment horizontal="left" vertical="center"/>
      <protection locked="0" hidden="1"/>
    </xf>
    <xf numFmtId="0" fontId="0" fillId="6" borderId="4" xfId="0" applyFont="1" applyFill="1" applyBorder="1" applyAlignment="1" applyProtection="1">
      <alignment horizontal="left" vertical="center"/>
      <protection locked="0" hidden="1"/>
    </xf>
    <xf numFmtId="0" fontId="0" fillId="6" borderId="3" xfId="0" applyFont="1" applyFill="1" applyBorder="1" applyAlignment="1" applyProtection="1">
      <alignment horizontal="left" vertical="center"/>
      <protection locked="0" hidden="1"/>
    </xf>
    <xf numFmtId="0" fontId="4" fillId="13" borderId="12" xfId="0" applyFont="1" applyFill="1" applyBorder="1" applyAlignment="1" applyProtection="1">
      <alignment horizontal="center" vertical="center"/>
      <protection hidden="1"/>
    </xf>
    <xf numFmtId="0" fontId="4" fillId="13" borderId="0" xfId="0" applyFont="1" applyFill="1" applyBorder="1" applyAlignment="1" applyProtection="1">
      <alignment horizontal="center" vertical="center"/>
      <protection hidden="1"/>
    </xf>
    <xf numFmtId="0" fontId="0" fillId="7" borderId="1" xfId="0" applyFont="1" applyFill="1" applyBorder="1" applyAlignment="1" applyProtection="1">
      <alignment horizontal="right" vertical="center"/>
      <protection hidden="1"/>
    </xf>
  </cellXfs>
  <cellStyles count="2">
    <cellStyle name="Currency" xfId="1" builtinId="4"/>
    <cellStyle name="Normal" xfId="0" builtinId="0"/>
  </cellStyles>
  <dxfs count="16">
    <dxf>
      <numFmt numFmtId="0" formatCode="General"/>
      <alignment vertical="center" textRotation="0" wrapText="0" indent="0" justifyLastLine="0" shrinkToFit="0" readingOrder="0"/>
      <protection locked="1" hidden="1"/>
    </dxf>
    <dxf>
      <numFmt numFmtId="0" formatCode="General"/>
      <protection locked="1" hidden="1"/>
    </dxf>
    <dxf>
      <protection locked="1" hidden="1"/>
    </dxf>
    <dxf>
      <alignment vertical="center" textRotation="0" wrapText="0" indent="0" justifyLastLine="0" shrinkToFit="0" readingOrder="0"/>
      <protection locked="1" hidden="1"/>
    </dxf>
    <dxf>
      <numFmt numFmtId="0" formatCode="General"/>
      <alignment horizontal="general" vertical="center" textRotation="0" wrapText="0" indent="0" justifyLastLine="0" shrinkToFit="0" readingOrder="0"/>
      <protection locked="1" hidden="1"/>
    </dxf>
    <dxf>
      <numFmt numFmtId="0" formatCode="General"/>
      <alignment horizontal="general" vertical="center" textRotation="0" wrapText="0" indent="0" justifyLastLine="0" shrinkToFit="0" readingOrder="0"/>
      <protection locked="1" hidden="1"/>
    </dxf>
    <dxf>
      <numFmt numFmtId="0" formatCode="General"/>
      <alignment vertical="center" textRotation="0" wrapText="0" indent="0" justifyLastLine="0" shrinkToFit="0" readingOrder="0"/>
      <protection locked="1" hidden="1"/>
    </dxf>
    <dxf>
      <numFmt numFmtId="165" formatCode="&quot;$&quot;#,##0.00"/>
      <alignment vertical="center" textRotation="0" wrapText="0" indent="0" justifyLastLine="0" shrinkToFit="0" readingOrder="0"/>
      <protection locked="1" hidden="1"/>
    </dxf>
    <dxf>
      <alignment vertical="center" textRotation="0" wrapText="0" indent="0" justifyLastLine="0" shrinkToFit="0" readingOrder="0"/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vertical="center" textRotation="0" wrapText="0" indent="0" justifyLastLine="0" shrinkToFit="0" readingOrder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 tint="-0.34998626667073579"/>
        <name val="Calibri"/>
        <scheme val="minor"/>
      </font>
      <numFmt numFmtId="164" formatCode="_-[$$-C09]* #,##0.00_-;\-[$$-C09]* #,##0.00_-;_-[$$-C09]* &quot;-&quot;??_-;_-@_-"/>
      <alignment horizontal="center" vertical="center" textRotation="0" wrapText="0" indent="0" justifyLastLine="0" shrinkToFit="0" readingOrder="0"/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alignment vertical="center" textRotation="0" wrapText="0" indent="0" justifyLastLine="0" shrinkToFit="0" readingOrder="0"/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scheme val="minor"/>
      </font>
      <fill>
        <patternFill patternType="solid">
          <fgColor indexed="64"/>
          <bgColor theme="1" tint="0.34998626667073579"/>
        </patternFill>
      </fill>
      <alignment vertical="center" textRotation="0" wrapText="0" indent="0" justifyLastLine="0" shrinkToFit="0" readingOrder="0"/>
      <protection locked="1" hidden="1"/>
    </dxf>
  </dxfs>
  <tableStyles count="0" defaultTableStyle="TableStyleMedium2" defaultPivotStyle="PivotStyleLight16"/>
  <colors>
    <mruColors>
      <color rgb="FF33CC33"/>
      <color rgb="FFD3E2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Table13" displayName="Table13" ref="A17:N215" totalsRowShown="0" headerRowDxfId="15" dataDxfId="14">
  <tableColumns count="14">
    <tableColumn id="1" name="Reference" dataDxfId="13"/>
    <tableColumn id="2" name="# holds _x000a_per set" dataDxfId="12"/>
    <tableColumn id="3" name="Price AUD_x000a_per _x000a_hold" dataDxfId="11">
      <calculatedColumnFormula>Table13[[#This Row],[Price AUD
(incl. GST)]]/Table13[[#This Row],['# holds 
per set]]</calculatedColumnFormula>
    </tableColumn>
    <tableColumn id="4" name="Price AUD_x000a_(incl. GST)" dataDxfId="10" dataCellStyle="Currency"/>
    <tableColumn id="5" name="Qty" dataDxfId="9"/>
    <tableColumn id="6" name="Options" dataDxfId="8"/>
    <tableColumn id="7" name="Total" dataDxfId="7">
      <calculatedColumnFormula>E18*D18</calculatedColumnFormula>
    </tableColumn>
    <tableColumn id="8" name="# holds ordered" dataDxfId="6">
      <calculatedColumnFormula>Table13[[#This Row],['# holds 
per set]]*Table13[[#This Row],[Qty]]</calculatedColumnFormula>
    </tableColumn>
    <tableColumn id="11" name="#bolts per set" dataDxfId="5"/>
    <tableColumn id="12" name="#bolts ordered" dataDxfId="4">
      <calculatedColumnFormula>Table13[[#This Row],[Qty]]*Table13[[#This Row],['#bolts per set]]</calculatedColumnFormula>
    </tableColumn>
    <tableColumn id="9" name="Weight / unit" dataDxfId="3"/>
    <tableColumn id="15" name="#screws per set" dataDxfId="2"/>
    <tableColumn id="14" name="#screws ordered" dataDxfId="1">
      <calculatedColumnFormula>Table13[[#This Row],[Qty]]*Table13[[#This Row],['#screws per set]]</calculatedColumnFormula>
    </tableColumn>
    <tableColumn id="10" name="Total weight" dataDxfId="0">
      <calculatedColumnFormula>Table13[[#This Row],[Qty]]*Table13[[#This Row],[Weight / unit]]</calculatedColumnFormula>
    </tableColumn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1"/>
  <sheetViews>
    <sheetView tabSelected="1" zoomScaleNormal="100" workbookViewId="0">
      <selection activeCell="C2" sqref="C2:G2"/>
    </sheetView>
  </sheetViews>
  <sheetFormatPr defaultColWidth="9.1796875" defaultRowHeight="14.5" x14ac:dyDescent="0.35"/>
  <cols>
    <col min="1" max="1" width="16.453125" style="154" customWidth="1"/>
    <col min="2" max="2" width="9.453125" style="154" customWidth="1"/>
    <col min="3" max="3" width="10" style="154" customWidth="1"/>
    <col min="4" max="4" width="10.1796875" style="3" customWidth="1"/>
    <col min="5" max="5" width="6.7265625" style="154" customWidth="1"/>
    <col min="6" max="6" width="32.54296875" style="3" customWidth="1"/>
    <col min="7" max="7" width="14.81640625" style="155" customWidth="1"/>
    <col min="8" max="8" width="7.08984375" style="3" hidden="1" customWidth="1"/>
    <col min="9" max="10" width="7" style="3" hidden="1" customWidth="1"/>
    <col min="11" max="11" width="12.90625" style="3" hidden="1" customWidth="1"/>
    <col min="12" max="12" width="7.81640625" style="3" hidden="1" customWidth="1"/>
    <col min="13" max="13" width="6.453125" style="3" hidden="1" customWidth="1"/>
    <col min="14" max="14" width="12.08984375" style="3" hidden="1" customWidth="1"/>
    <col min="15" max="15" width="5.81640625" style="3" customWidth="1"/>
    <col min="16" max="16" width="31" style="3" customWidth="1"/>
    <col min="17" max="17" width="44.453125" style="3" customWidth="1"/>
    <col min="18" max="16384" width="9.1796875" style="3"/>
  </cols>
  <sheetData>
    <row r="1" spans="1:7" ht="22.5" customHeight="1" x14ac:dyDescent="0.35">
      <c r="A1" s="167" t="s">
        <v>99</v>
      </c>
      <c r="B1" s="168"/>
      <c r="C1" s="168"/>
      <c r="D1" s="168"/>
      <c r="E1" s="168"/>
      <c r="F1" s="168"/>
      <c r="G1" s="168"/>
    </row>
    <row r="2" spans="1:7" ht="22.5" customHeight="1" x14ac:dyDescent="0.35">
      <c r="A2" s="169" t="s">
        <v>48</v>
      </c>
      <c r="B2" s="170"/>
      <c r="C2" s="175"/>
      <c r="D2" s="176"/>
      <c r="E2" s="176"/>
      <c r="F2" s="176"/>
      <c r="G2" s="177"/>
    </row>
    <row r="3" spans="1:7" ht="22.5" customHeight="1" x14ac:dyDescent="0.35">
      <c r="A3" s="171" t="s">
        <v>49</v>
      </c>
      <c r="B3" s="172"/>
      <c r="C3" s="178"/>
      <c r="D3" s="179"/>
      <c r="E3" s="179"/>
      <c r="F3" s="179"/>
      <c r="G3" s="180"/>
    </row>
    <row r="4" spans="1:7" ht="22.5" customHeight="1" x14ac:dyDescent="0.35">
      <c r="A4" s="169" t="s">
        <v>227</v>
      </c>
      <c r="B4" s="170"/>
      <c r="C4" s="175"/>
      <c r="D4" s="176"/>
      <c r="E4" s="176"/>
      <c r="F4" s="176"/>
      <c r="G4" s="177"/>
    </row>
    <row r="5" spans="1:7" ht="22.5" customHeight="1" x14ac:dyDescent="0.35">
      <c r="A5" s="173" t="s">
        <v>228</v>
      </c>
      <c r="B5" s="174"/>
      <c r="C5" s="178"/>
      <c r="D5" s="179"/>
      <c r="E5" s="179"/>
      <c r="F5" s="179"/>
      <c r="G5" s="180"/>
    </row>
    <row r="6" spans="1:7" ht="22.5" customHeight="1" x14ac:dyDescent="0.35">
      <c r="A6" s="169" t="s">
        <v>50</v>
      </c>
      <c r="B6" s="170"/>
      <c r="C6" s="175"/>
      <c r="D6" s="176"/>
      <c r="E6" s="176"/>
      <c r="F6" s="176"/>
      <c r="G6" s="177"/>
    </row>
    <row r="7" spans="1:7" ht="22.5" customHeight="1" x14ac:dyDescent="0.35">
      <c r="A7" s="183" t="s">
        <v>229</v>
      </c>
      <c r="B7" s="184"/>
      <c r="C7" s="185"/>
      <c r="D7" s="186"/>
      <c r="E7" s="186"/>
      <c r="F7" s="186"/>
      <c r="G7" s="187"/>
    </row>
    <row r="8" spans="1:7" ht="22.5" customHeight="1" x14ac:dyDescent="0.35">
      <c r="A8" s="169" t="s">
        <v>230</v>
      </c>
      <c r="B8" s="170"/>
      <c r="C8" s="175"/>
      <c r="D8" s="176"/>
      <c r="E8" s="176"/>
      <c r="F8" s="176"/>
      <c r="G8" s="177"/>
    </row>
    <row r="9" spans="1:7" ht="22.5" customHeight="1" x14ac:dyDescent="0.35">
      <c r="A9" s="183" t="s">
        <v>231</v>
      </c>
      <c r="B9" s="184"/>
      <c r="C9" s="185"/>
      <c r="D9" s="186"/>
      <c r="E9" s="186"/>
      <c r="F9" s="186"/>
      <c r="G9" s="187"/>
    </row>
    <row r="10" spans="1:7" ht="22.5" customHeight="1" x14ac:dyDescent="0.25">
      <c r="A10" s="169" t="s">
        <v>232</v>
      </c>
      <c r="B10" s="170"/>
      <c r="C10" s="175"/>
      <c r="D10" s="176"/>
      <c r="E10" s="176"/>
      <c r="F10" s="176"/>
      <c r="G10" s="177"/>
    </row>
    <row r="11" spans="1:7" ht="22.5" customHeight="1" x14ac:dyDescent="0.25">
      <c r="A11" s="169" t="s">
        <v>252</v>
      </c>
      <c r="B11" s="170"/>
      <c r="C11" s="175"/>
      <c r="D11" s="176"/>
      <c r="E11" s="176"/>
      <c r="F11" s="176"/>
      <c r="G11" s="177"/>
    </row>
    <row r="12" spans="1:7" ht="22.5" customHeight="1" x14ac:dyDescent="0.35">
      <c r="A12" s="188" t="s">
        <v>100</v>
      </c>
      <c r="B12" s="189"/>
      <c r="C12" s="189"/>
      <c r="D12" s="189"/>
      <c r="E12" s="189"/>
      <c r="F12" s="189"/>
      <c r="G12" s="189"/>
    </row>
    <row r="13" spans="1:7" ht="22.5" customHeight="1" x14ac:dyDescent="0.35">
      <c r="A13" s="190" t="s">
        <v>233</v>
      </c>
      <c r="B13" s="190"/>
      <c r="C13" s="175"/>
      <c r="D13" s="176"/>
      <c r="E13" s="176"/>
      <c r="F13" s="176"/>
      <c r="G13" s="177"/>
    </row>
    <row r="14" spans="1:7" ht="20" customHeight="1" x14ac:dyDescent="0.35">
      <c r="A14" s="181" t="s">
        <v>253</v>
      </c>
      <c r="B14" s="181"/>
      <c r="C14" s="181"/>
      <c r="D14" s="181"/>
      <c r="E14" s="181"/>
      <c r="F14" s="181"/>
      <c r="G14" s="181"/>
    </row>
    <row r="15" spans="1:7" ht="20" customHeight="1" x14ac:dyDescent="0.35">
      <c r="A15" s="182"/>
      <c r="B15" s="182"/>
      <c r="C15" s="182"/>
      <c r="D15" s="182"/>
      <c r="E15" s="182"/>
      <c r="F15" s="182"/>
      <c r="G15" s="182"/>
    </row>
    <row r="16" spans="1:7" ht="20" customHeight="1" x14ac:dyDescent="0.35">
      <c r="A16" s="182"/>
      <c r="B16" s="182"/>
      <c r="C16" s="182"/>
      <c r="D16" s="182"/>
      <c r="E16" s="182"/>
      <c r="F16" s="182"/>
      <c r="G16" s="182"/>
    </row>
    <row r="17" spans="1:14" s="9" customFormat="1" ht="66.75" customHeight="1" x14ac:dyDescent="0.35">
      <c r="A17" s="4" t="s">
        <v>0</v>
      </c>
      <c r="B17" s="5" t="s">
        <v>24</v>
      </c>
      <c r="C17" s="5" t="s">
        <v>55</v>
      </c>
      <c r="D17" s="5" t="s">
        <v>56</v>
      </c>
      <c r="E17" s="4" t="s">
        <v>1</v>
      </c>
      <c r="F17" s="6" t="s">
        <v>143</v>
      </c>
      <c r="G17" s="7" t="s">
        <v>2</v>
      </c>
      <c r="H17" s="6" t="s">
        <v>44</v>
      </c>
      <c r="I17" s="6" t="s">
        <v>139</v>
      </c>
      <c r="J17" s="6" t="s">
        <v>140</v>
      </c>
      <c r="K17" s="8" t="s">
        <v>118</v>
      </c>
      <c r="L17" s="6" t="s">
        <v>205</v>
      </c>
      <c r="M17" s="6" t="s">
        <v>206</v>
      </c>
      <c r="N17" s="8" t="s">
        <v>117</v>
      </c>
    </row>
    <row r="18" spans="1:14" s="9" customFormat="1" ht="20" customHeight="1" x14ac:dyDescent="0.35">
      <c r="A18" s="10" t="s">
        <v>169</v>
      </c>
      <c r="B18" s="11">
        <v>8</v>
      </c>
      <c r="C18" s="12">
        <f>Table13[[#This Row],[Price AUD
(incl. GST)]]/Table13[[#This Row],['# holds 
per set]]</f>
        <v>233</v>
      </c>
      <c r="D18" s="13">
        <v>1864</v>
      </c>
      <c r="E18" s="156"/>
      <c r="F18" s="157"/>
      <c r="G18" s="15">
        <f>E18*D18</f>
        <v>0</v>
      </c>
      <c r="H18" s="16">
        <f>Table13[[#This Row],['# holds 
per set]]*Table13[[#This Row],[Qty]]</f>
        <v>0</v>
      </c>
      <c r="I18" s="17">
        <v>8</v>
      </c>
      <c r="J18" s="17">
        <f>Table13[[#This Row],[Qty]]*Table13[[#This Row],['#bolts per set]]</f>
        <v>0</v>
      </c>
      <c r="K18" s="18">
        <v>18635</v>
      </c>
      <c r="L18" s="19">
        <v>32</v>
      </c>
      <c r="M18" s="18">
        <f>Table13[[#This Row],[Qty]]*Table13[[#This Row],['#screws per set]]</f>
        <v>0</v>
      </c>
      <c r="N18" s="17">
        <f>Table13[[#This Row],[Qty]]*Table13[[#This Row],[Weight / unit]]</f>
        <v>0</v>
      </c>
    </row>
    <row r="19" spans="1:14" s="9" customFormat="1" ht="20" customHeight="1" x14ac:dyDescent="0.35">
      <c r="A19" s="14" t="s">
        <v>37</v>
      </c>
      <c r="B19" s="11">
        <v>8</v>
      </c>
      <c r="C19" s="20">
        <f>Table13[[#This Row],[Price AUD
(incl. GST)]]/Table13[[#This Row],['# holds 
per set]]</f>
        <v>74.25</v>
      </c>
      <c r="D19" s="13">
        <v>594</v>
      </c>
      <c r="E19" s="156"/>
      <c r="F19" s="157"/>
      <c r="G19" s="15">
        <f t="shared" ref="G19:G30" si="0">E19*D19</f>
        <v>0</v>
      </c>
      <c r="H19" s="16">
        <f>Table13[[#This Row],['# holds 
per set]]*Table13[[#This Row],[Qty]]</f>
        <v>0</v>
      </c>
      <c r="I19" s="18">
        <v>8</v>
      </c>
      <c r="J19" s="17">
        <f>Table13[[#This Row],[Qty]]*Table13[[#This Row],['#bolts per set]]</f>
        <v>0</v>
      </c>
      <c r="K19" s="18">
        <v>5935</v>
      </c>
      <c r="L19" s="19">
        <v>8</v>
      </c>
      <c r="M19" s="18">
        <f>Table13[[#This Row],[Qty]]*Table13[[#This Row],['#screws per set]]</f>
        <v>0</v>
      </c>
      <c r="N19" s="18">
        <f>Table13[[#This Row],[Qty]]*Table13[[#This Row],[Weight / unit]]</f>
        <v>0</v>
      </c>
    </row>
    <row r="20" spans="1:14" s="9" customFormat="1" ht="20" customHeight="1" x14ac:dyDescent="0.35">
      <c r="A20" s="14" t="s">
        <v>57</v>
      </c>
      <c r="B20" s="11">
        <v>8</v>
      </c>
      <c r="C20" s="20">
        <f>Table13[[#This Row],[Price AUD
(incl. GST)]]/Table13[[#This Row],['# holds 
per set]]</f>
        <v>66.25</v>
      </c>
      <c r="D20" s="13">
        <v>530</v>
      </c>
      <c r="E20" s="156"/>
      <c r="F20" s="157"/>
      <c r="G20" s="15">
        <f t="shared" si="0"/>
        <v>0</v>
      </c>
      <c r="H20" s="16">
        <f>Table13[[#This Row],['# holds 
per set]]*Table13[[#This Row],[Qty]]</f>
        <v>0</v>
      </c>
      <c r="I20" s="18">
        <v>8</v>
      </c>
      <c r="J20" s="17">
        <f>Table13[[#This Row],[Qty]]*Table13[[#This Row],['#bolts per set]]</f>
        <v>0</v>
      </c>
      <c r="K20" s="18">
        <v>5300</v>
      </c>
      <c r="L20" s="19">
        <v>9</v>
      </c>
      <c r="M20" s="18">
        <f>Table13[[#This Row],[Qty]]*Table13[[#This Row],['#screws per set]]</f>
        <v>0</v>
      </c>
      <c r="N20" s="18">
        <f>Table13[[#This Row],[Qty]]*Table13[[#This Row],[Weight / unit]]</f>
        <v>0</v>
      </c>
    </row>
    <row r="21" spans="1:14" s="9" customFormat="1" ht="20" customHeight="1" x14ac:dyDescent="0.35">
      <c r="A21" s="14" t="s">
        <v>58</v>
      </c>
      <c r="B21" s="11">
        <v>1</v>
      </c>
      <c r="C21" s="21">
        <f>Table13[[#This Row],[Price AUD
(incl. GST)]]/Table13[[#This Row],['# holds 
per set]]</f>
        <v>63</v>
      </c>
      <c r="D21" s="13">
        <v>63</v>
      </c>
      <c r="E21" s="156"/>
      <c r="F21" s="157"/>
      <c r="G21" s="15">
        <f t="shared" si="0"/>
        <v>0</v>
      </c>
      <c r="H21" s="16">
        <f>Table13[[#This Row],['# holds 
per set]]*Table13[[#This Row],[Qty]]</f>
        <v>0</v>
      </c>
      <c r="I21" s="18">
        <v>1</v>
      </c>
      <c r="J21" s="17">
        <f>Table13[[#This Row],[Qty]]*Table13[[#This Row],['#bolts per set]]</f>
        <v>0</v>
      </c>
      <c r="K21" s="18">
        <v>625</v>
      </c>
      <c r="L21" s="19">
        <v>1</v>
      </c>
      <c r="M21" s="18">
        <f>Table13[[#This Row],[Qty]]*Table13[[#This Row],['#screws per set]]</f>
        <v>0</v>
      </c>
      <c r="N21" s="18">
        <f>Table13[[#This Row],[Qty]]*Table13[[#This Row],[Weight / unit]]</f>
        <v>0</v>
      </c>
    </row>
    <row r="22" spans="1:14" s="9" customFormat="1" ht="20" customHeight="1" x14ac:dyDescent="0.35">
      <c r="A22" s="14" t="s">
        <v>59</v>
      </c>
      <c r="B22" s="11">
        <v>8</v>
      </c>
      <c r="C22" s="20">
        <f>Table13[[#This Row],[Price AUD
(incl. GST)]]/Table13[[#This Row],['# holds 
per set]]</f>
        <v>21</v>
      </c>
      <c r="D22" s="13">
        <v>168</v>
      </c>
      <c r="E22" s="156"/>
      <c r="F22" s="157"/>
      <c r="G22" s="15">
        <f t="shared" si="0"/>
        <v>0</v>
      </c>
      <c r="H22" s="16">
        <f>Table13[[#This Row],['# holds 
per set]]*Table13[[#This Row],[Qty]]</f>
        <v>0</v>
      </c>
      <c r="I22" s="18">
        <v>8</v>
      </c>
      <c r="J22" s="17">
        <f>Table13[[#This Row],[Qty]]*Table13[[#This Row],['#bolts per set]]</f>
        <v>0</v>
      </c>
      <c r="K22" s="18">
        <v>1675</v>
      </c>
      <c r="L22" s="19">
        <v>8</v>
      </c>
      <c r="M22" s="18">
        <f>Table13[[#This Row],[Qty]]*Table13[[#This Row],['#screws per set]]</f>
        <v>0</v>
      </c>
      <c r="N22" s="18">
        <f>Table13[[#This Row],[Qty]]*Table13[[#This Row],[Weight / unit]]</f>
        <v>0</v>
      </c>
    </row>
    <row r="23" spans="1:14" s="9" customFormat="1" ht="20" customHeight="1" x14ac:dyDescent="0.35">
      <c r="A23" s="14" t="s">
        <v>60</v>
      </c>
      <c r="B23" s="11">
        <v>8</v>
      </c>
      <c r="C23" s="20">
        <f>Table13[[#This Row],[Price AUD
(incl. GST)]]/Table13[[#This Row],['# holds 
per set]]</f>
        <v>20</v>
      </c>
      <c r="D23" s="13">
        <v>160</v>
      </c>
      <c r="E23" s="156"/>
      <c r="F23" s="157"/>
      <c r="G23" s="15">
        <f t="shared" si="0"/>
        <v>0</v>
      </c>
      <c r="H23" s="16">
        <f>Table13[[#This Row],['# holds 
per set]]*Table13[[#This Row],[Qty]]</f>
        <v>0</v>
      </c>
      <c r="I23" s="18">
        <v>8</v>
      </c>
      <c r="J23" s="17">
        <f>Table13[[#This Row],[Qty]]*Table13[[#This Row],['#bolts per set]]</f>
        <v>0</v>
      </c>
      <c r="K23" s="18">
        <v>1600</v>
      </c>
      <c r="L23" s="19">
        <v>8</v>
      </c>
      <c r="M23" s="18">
        <f>Table13[[#This Row],[Qty]]*Table13[[#This Row],['#screws per set]]</f>
        <v>0</v>
      </c>
      <c r="N23" s="18">
        <f>Table13[[#This Row],[Qty]]*Table13[[#This Row],[Weight / unit]]</f>
        <v>0</v>
      </c>
    </row>
    <row r="24" spans="1:14" s="9" customFormat="1" ht="20" customHeight="1" x14ac:dyDescent="0.35">
      <c r="A24" s="14" t="s">
        <v>61</v>
      </c>
      <c r="B24" s="11">
        <v>8</v>
      </c>
      <c r="C24" s="22">
        <f>Table13[[#This Row],[Price AUD
(incl. GST)]]/Table13[[#This Row],['# holds 
per set]]</f>
        <v>11.125</v>
      </c>
      <c r="D24" s="13">
        <v>89</v>
      </c>
      <c r="E24" s="156"/>
      <c r="F24" s="157"/>
      <c r="G24" s="15">
        <f t="shared" si="0"/>
        <v>0</v>
      </c>
      <c r="H24" s="16">
        <f>Table13[[#This Row],['# holds 
per set]]*Table13[[#This Row],[Qty]]</f>
        <v>0</v>
      </c>
      <c r="I24" s="18">
        <v>8</v>
      </c>
      <c r="J24" s="17">
        <f>Table13[[#This Row],[Qty]]*Table13[[#This Row],['#bolts per set]]</f>
        <v>0</v>
      </c>
      <c r="K24" s="18">
        <v>885</v>
      </c>
      <c r="L24" s="19">
        <v>8</v>
      </c>
      <c r="M24" s="18">
        <f>Table13[[#This Row],[Qty]]*Table13[[#This Row],['#screws per set]]</f>
        <v>0</v>
      </c>
      <c r="N24" s="18">
        <f>Table13[[#This Row],[Qty]]*Table13[[#This Row],[Weight / unit]]</f>
        <v>0</v>
      </c>
    </row>
    <row r="25" spans="1:14" s="9" customFormat="1" ht="20" customHeight="1" x14ac:dyDescent="0.35">
      <c r="A25" s="14" t="s">
        <v>62</v>
      </c>
      <c r="B25" s="11">
        <v>12</v>
      </c>
      <c r="C25" s="22">
        <f>Table13[[#This Row],[Price AUD
(incl. GST)]]/Table13[[#This Row],['# holds 
per set]]</f>
        <v>10.416666666666666</v>
      </c>
      <c r="D25" s="13">
        <v>125</v>
      </c>
      <c r="E25" s="156"/>
      <c r="F25" s="157"/>
      <c r="G25" s="15">
        <f t="shared" si="0"/>
        <v>0</v>
      </c>
      <c r="H25" s="16">
        <f>Table13[[#This Row],['# holds 
per set]]*Table13[[#This Row],[Qty]]</f>
        <v>0</v>
      </c>
      <c r="I25" s="18">
        <v>12</v>
      </c>
      <c r="J25" s="17">
        <f>Table13[[#This Row],[Qty]]*Table13[[#This Row],['#bolts per set]]</f>
        <v>0</v>
      </c>
      <c r="K25" s="18">
        <v>1250</v>
      </c>
      <c r="L25" s="19">
        <v>12</v>
      </c>
      <c r="M25" s="18">
        <f>Table13[[#This Row],[Qty]]*Table13[[#This Row],['#screws per set]]</f>
        <v>0</v>
      </c>
      <c r="N25" s="18">
        <f>Table13[[#This Row],[Qty]]*Table13[[#This Row],[Weight / unit]]</f>
        <v>0</v>
      </c>
    </row>
    <row r="26" spans="1:14" s="9" customFormat="1" ht="20" customHeight="1" x14ac:dyDescent="0.35">
      <c r="A26" s="14" t="s">
        <v>63</v>
      </c>
      <c r="B26" s="11">
        <v>12</v>
      </c>
      <c r="C26" s="22">
        <f>Table13[[#This Row],[Price AUD
(incl. GST)]]/Table13[[#This Row],['# holds 
per set]]</f>
        <v>6.333333333333333</v>
      </c>
      <c r="D26" s="13">
        <v>76</v>
      </c>
      <c r="E26" s="156"/>
      <c r="F26" s="157"/>
      <c r="G26" s="15">
        <f t="shared" si="0"/>
        <v>0</v>
      </c>
      <c r="H26" s="16">
        <f>Table13[[#This Row],['# holds 
per set]]*Table13[[#This Row],[Qty]]</f>
        <v>0</v>
      </c>
      <c r="I26" s="18">
        <v>12</v>
      </c>
      <c r="J26" s="17">
        <f>Table13[[#This Row],[Qty]]*Table13[[#This Row],['#bolts per set]]</f>
        <v>0</v>
      </c>
      <c r="K26" s="18">
        <v>755</v>
      </c>
      <c r="L26" s="19">
        <v>24</v>
      </c>
      <c r="M26" s="18">
        <f>Table13[[#This Row],[Qty]]*Table13[[#This Row],['#screws per set]]</f>
        <v>0</v>
      </c>
      <c r="N26" s="18">
        <f>Table13[[#This Row],[Qty]]*Table13[[#This Row],[Weight / unit]]</f>
        <v>0</v>
      </c>
    </row>
    <row r="27" spans="1:14" s="9" customFormat="1" ht="20" customHeight="1" x14ac:dyDescent="0.35">
      <c r="A27" s="14" t="s">
        <v>64</v>
      </c>
      <c r="B27" s="11">
        <v>12</v>
      </c>
      <c r="C27" s="20">
        <f>Table13[[#This Row],[Price AUD
(incl. GST)]]/Table13[[#This Row],['# holds 
per set]]</f>
        <v>4</v>
      </c>
      <c r="D27" s="13">
        <v>48</v>
      </c>
      <c r="E27" s="156"/>
      <c r="F27" s="157"/>
      <c r="G27" s="15">
        <f t="shared" si="0"/>
        <v>0</v>
      </c>
      <c r="H27" s="16">
        <f>Table13[[#This Row],['# holds 
per set]]*Table13[[#This Row],[Qty]]</f>
        <v>0</v>
      </c>
      <c r="I27" s="18">
        <v>0</v>
      </c>
      <c r="J27" s="17">
        <f>Table13[[#This Row],[Qty]]*Table13[[#This Row],['#bolts per set]]</f>
        <v>0</v>
      </c>
      <c r="K27" s="18">
        <v>295</v>
      </c>
      <c r="L27" s="19">
        <v>24</v>
      </c>
      <c r="M27" s="18">
        <f>Table13[[#This Row],[Qty]]*Table13[[#This Row],['#screws per set]]</f>
        <v>0</v>
      </c>
      <c r="N27" s="18">
        <f>Table13[[#This Row],[Qty]]*Table13[[#This Row],[Weight / unit]]</f>
        <v>0</v>
      </c>
    </row>
    <row r="28" spans="1:14" s="9" customFormat="1" ht="20" customHeight="1" x14ac:dyDescent="0.35">
      <c r="A28" s="14" t="s">
        <v>166</v>
      </c>
      <c r="B28" s="11">
        <v>12</v>
      </c>
      <c r="C28" s="20">
        <f>Table13[[#This Row],[Price AUD
(incl. GST)]]/Table13[[#This Row],['# holds 
per set]]</f>
        <v>4.333333333333333</v>
      </c>
      <c r="D28" s="13">
        <v>52</v>
      </c>
      <c r="E28" s="156"/>
      <c r="F28" s="157"/>
      <c r="G28" s="15">
        <f t="shared" si="0"/>
        <v>0</v>
      </c>
      <c r="H28" s="16">
        <f>Table13[[#This Row],['# holds 
per set]]*Table13[[#This Row],[Qty]]</f>
        <v>0</v>
      </c>
      <c r="I28" s="18">
        <v>12</v>
      </c>
      <c r="J28" s="17">
        <f>Table13[[#This Row],[Qty]]*Table13[[#This Row],['#bolts per set]]</f>
        <v>0</v>
      </c>
      <c r="K28" s="18">
        <v>520</v>
      </c>
      <c r="L28" s="19">
        <v>12</v>
      </c>
      <c r="M28" s="18">
        <f>Table13[[#This Row],[Qty]]*Table13[[#This Row],['#screws per set]]</f>
        <v>0</v>
      </c>
      <c r="N28" s="18">
        <f>Table13[[#This Row],[Qty]]*Table13[[#This Row],[Weight / unit]]</f>
        <v>0</v>
      </c>
    </row>
    <row r="29" spans="1:14" s="9" customFormat="1" ht="20" customHeight="1" x14ac:dyDescent="0.35">
      <c r="A29" s="14" t="s">
        <v>167</v>
      </c>
      <c r="B29" s="11">
        <v>8</v>
      </c>
      <c r="C29" s="20">
        <f>Table13[[#This Row],[Price AUD
(incl. GST)]]/Table13[[#This Row],['# holds 
per set]]</f>
        <v>21.125</v>
      </c>
      <c r="D29" s="13">
        <v>169</v>
      </c>
      <c r="E29" s="156"/>
      <c r="F29" s="157"/>
      <c r="G29" s="15">
        <f t="shared" si="0"/>
        <v>0</v>
      </c>
      <c r="H29" s="16">
        <f>Table13[[#This Row],['# holds 
per set]]*Table13[[#This Row],[Qty]]</f>
        <v>0</v>
      </c>
      <c r="I29" s="18">
        <v>8</v>
      </c>
      <c r="J29" s="17">
        <f>Table13[[#This Row],[Qty]]*Table13[[#This Row],['#bolts per set]]</f>
        <v>0</v>
      </c>
      <c r="K29" s="18">
        <v>1690</v>
      </c>
      <c r="L29" s="19">
        <v>8</v>
      </c>
      <c r="M29" s="18">
        <f>Table13[[#This Row],[Qty]]*Table13[[#This Row],['#screws per set]]</f>
        <v>0</v>
      </c>
      <c r="N29" s="18">
        <f>Table13[[#This Row],[Qty]]*Table13[[#This Row],[Weight / unit]]</f>
        <v>0</v>
      </c>
    </row>
    <row r="30" spans="1:14" s="9" customFormat="1" ht="20" customHeight="1" x14ac:dyDescent="0.35">
      <c r="A30" s="14" t="s">
        <v>170</v>
      </c>
      <c r="B30" s="11">
        <v>8</v>
      </c>
      <c r="C30" s="20">
        <f>Table13[[#This Row],[Price AUD
(incl. GST)]]/Table13[[#This Row],['# holds 
per set]]</f>
        <v>46.875</v>
      </c>
      <c r="D30" s="13">
        <v>375</v>
      </c>
      <c r="E30" s="156"/>
      <c r="F30" s="157"/>
      <c r="G30" s="15">
        <f t="shared" si="0"/>
        <v>0</v>
      </c>
      <c r="H30" s="16">
        <f>Table13[[#This Row],['# holds 
per set]]*Table13[[#This Row],[Qty]]</f>
        <v>0</v>
      </c>
      <c r="I30" s="18">
        <v>8</v>
      </c>
      <c r="J30" s="17">
        <f>Table13[[#This Row],[Qty]]*Table13[[#This Row],['#bolts per set]]</f>
        <v>0</v>
      </c>
      <c r="K30" s="18">
        <v>3750</v>
      </c>
      <c r="L30" s="19">
        <v>32</v>
      </c>
      <c r="M30" s="18">
        <f>Table13[[#This Row],[Qty]]*Table13[[#This Row],['#screws per set]]</f>
        <v>0</v>
      </c>
      <c r="N30" s="18">
        <f>Table13[[#This Row],[Qty]]*Table13[[#This Row],[Weight / unit]]</f>
        <v>0</v>
      </c>
    </row>
    <row r="31" spans="1:14" s="9" customFormat="1" ht="6" customHeight="1" x14ac:dyDescent="0.35">
      <c r="A31" s="23"/>
      <c r="B31" s="23"/>
      <c r="C31" s="24"/>
      <c r="D31" s="25"/>
      <c r="E31" s="23"/>
      <c r="F31" s="23"/>
      <c r="G31" s="26"/>
      <c r="H31" s="27"/>
      <c r="I31" s="28"/>
      <c r="J31" s="28"/>
      <c r="K31" s="29"/>
      <c r="L31" s="30"/>
      <c r="M31" s="29"/>
      <c r="N31" s="28"/>
    </row>
    <row r="32" spans="1:14" s="9" customFormat="1" ht="20" customHeight="1" x14ac:dyDescent="0.35">
      <c r="A32" s="14" t="s">
        <v>32</v>
      </c>
      <c r="B32" s="11">
        <v>2</v>
      </c>
      <c r="C32" s="20">
        <f>Table13[[#This Row],[Price AUD
(incl. GST)]]/Table13[[#This Row],['# holds 
per set]]</f>
        <v>132.5</v>
      </c>
      <c r="D32" s="13">
        <v>265</v>
      </c>
      <c r="E32" s="156"/>
      <c r="F32" s="157"/>
      <c r="G32" s="15">
        <f t="shared" ref="G32:G72" si="1">E32*D32</f>
        <v>0</v>
      </c>
      <c r="H32" s="14">
        <f>Table13[[#This Row],['# holds 
per set]]*Table13[[#This Row],[Qty]]</f>
        <v>0</v>
      </c>
      <c r="I32" s="18">
        <v>1</v>
      </c>
      <c r="J32" s="18">
        <f>Table13[[#This Row],[Qty]]*Table13[[#This Row],['#bolts per set]]</f>
        <v>0</v>
      </c>
      <c r="K32" s="18">
        <v>2650</v>
      </c>
      <c r="L32" s="19">
        <v>4</v>
      </c>
      <c r="M32" s="18">
        <f>Table13[[#This Row],[Qty]]*Table13[[#This Row],['#screws per set]]</f>
        <v>0</v>
      </c>
      <c r="N32" s="18">
        <f>Table13[[#This Row],[Qty]]*Table13[[#This Row],[Weight / unit]]</f>
        <v>0</v>
      </c>
    </row>
    <row r="33" spans="1:14" s="9" customFormat="1" ht="20" customHeight="1" x14ac:dyDescent="0.35">
      <c r="A33" s="14" t="s">
        <v>35</v>
      </c>
      <c r="B33" s="11">
        <v>1</v>
      </c>
      <c r="C33" s="20">
        <f>Table13[[#This Row],[Price AUD
(incl. GST)]]/Table13[[#This Row],['# holds 
per set]]</f>
        <v>217</v>
      </c>
      <c r="D33" s="13">
        <v>217</v>
      </c>
      <c r="E33" s="156"/>
      <c r="F33" s="157"/>
      <c r="G33" s="15">
        <f t="shared" ref="G33" si="2">E33*D33</f>
        <v>0</v>
      </c>
      <c r="H33" s="14">
        <f>Table13[[#This Row],['# holds 
per set]]*Table13[[#This Row],[Qty]]</f>
        <v>0</v>
      </c>
      <c r="I33" s="18">
        <v>1</v>
      </c>
      <c r="J33" s="18">
        <f>Table13[[#This Row],[Qty]]*Table13[[#This Row],['#bolts per set]]</f>
        <v>0</v>
      </c>
      <c r="K33" s="18">
        <v>2170</v>
      </c>
      <c r="L33" s="19">
        <v>1</v>
      </c>
      <c r="M33" s="18">
        <f>Table13[[#This Row],[Qty]]*Table13[[#This Row],['#screws per set]]</f>
        <v>0</v>
      </c>
      <c r="N33" s="18">
        <f>Table13[[#This Row],[Qty]]*Table13[[#This Row],[Weight / unit]]</f>
        <v>0</v>
      </c>
    </row>
    <row r="34" spans="1:14" s="9" customFormat="1" ht="6" customHeight="1" x14ac:dyDescent="0.35">
      <c r="A34" s="23"/>
      <c r="B34" s="23"/>
      <c r="C34" s="24"/>
      <c r="D34" s="25"/>
      <c r="E34" s="23"/>
      <c r="F34" s="23"/>
      <c r="G34" s="26"/>
      <c r="H34" s="27"/>
      <c r="I34" s="28"/>
      <c r="J34" s="28"/>
      <c r="K34" s="29"/>
      <c r="L34" s="30"/>
      <c r="M34" s="29"/>
      <c r="N34" s="28"/>
    </row>
    <row r="35" spans="1:14" s="9" customFormat="1" ht="20" customHeight="1" x14ac:dyDescent="0.35">
      <c r="A35" s="14" t="s">
        <v>298</v>
      </c>
      <c r="B35" s="11">
        <v>1</v>
      </c>
      <c r="C35" s="20">
        <f>Table13[[#This Row],[Price AUD
(incl. GST)]]/Table13[[#This Row],['# holds 
per set]]</f>
        <v>218</v>
      </c>
      <c r="D35" s="13">
        <v>218</v>
      </c>
      <c r="E35" s="156"/>
      <c r="F35" s="157"/>
      <c r="G35" s="15">
        <f t="shared" ref="G35:G39" si="3">E35*D35</f>
        <v>0</v>
      </c>
      <c r="H35" s="14">
        <f>Table13[[#This Row],['# holds 
per set]]*Table13[[#This Row],[Qty]]</f>
        <v>0</v>
      </c>
      <c r="I35" s="18">
        <v>1</v>
      </c>
      <c r="J35" s="18">
        <f>Table13[[#This Row],[Qty]]*Table13[[#This Row],['#bolts per set]]</f>
        <v>0</v>
      </c>
      <c r="K35" s="18">
        <v>2180</v>
      </c>
      <c r="L35" s="31">
        <v>7</v>
      </c>
      <c r="M35" s="18">
        <f>Table13[[#This Row],[Qty]]*Table13[[#This Row],['#screws per set]]</f>
        <v>0</v>
      </c>
      <c r="N35" s="18">
        <f>Table13[[#This Row],[Qty]]*Table13[[#This Row],[Weight / unit]]</f>
        <v>0</v>
      </c>
    </row>
    <row r="36" spans="1:14" s="9" customFormat="1" ht="20" customHeight="1" x14ac:dyDescent="0.35">
      <c r="A36" s="14" t="s">
        <v>173</v>
      </c>
      <c r="B36" s="11">
        <v>10</v>
      </c>
      <c r="C36" s="20">
        <f>Table13[[#This Row],[Price AUD
(incl. GST)]]/Table13[[#This Row],['# holds 
per set]]</f>
        <v>22.4</v>
      </c>
      <c r="D36" s="13">
        <v>224</v>
      </c>
      <c r="E36" s="156"/>
      <c r="F36" s="157"/>
      <c r="G36" s="15">
        <f t="shared" ref="G36" si="4">E36*D36</f>
        <v>0</v>
      </c>
      <c r="H36" s="14">
        <f>Table13[[#This Row],['# holds 
per set]]*Table13[[#This Row],[Qty]]</f>
        <v>0</v>
      </c>
      <c r="I36" s="18">
        <v>10</v>
      </c>
      <c r="J36" s="18">
        <f>Table13[[#This Row],[Qty]]*Table13[[#This Row],['#bolts per set]]</f>
        <v>0</v>
      </c>
      <c r="K36" s="18">
        <v>2240</v>
      </c>
      <c r="L36" s="31">
        <v>10</v>
      </c>
      <c r="M36" s="18">
        <f>Table13[[#This Row],[Qty]]*Table13[[#This Row],['#screws per set]]</f>
        <v>0</v>
      </c>
      <c r="N36" s="18">
        <f>Table13[[#This Row],[Qty]]*Table13[[#This Row],[Weight / unit]]</f>
        <v>0</v>
      </c>
    </row>
    <row r="37" spans="1:14" s="9" customFormat="1" ht="20" customHeight="1" x14ac:dyDescent="0.35">
      <c r="A37" s="14" t="s">
        <v>174</v>
      </c>
      <c r="B37" s="11">
        <v>8</v>
      </c>
      <c r="C37" s="20">
        <f>Table13[[#This Row],[Price AUD
(incl. GST)]]/Table13[[#This Row],['# holds 
per set]]</f>
        <v>15.375</v>
      </c>
      <c r="D37" s="13">
        <v>123</v>
      </c>
      <c r="E37" s="156"/>
      <c r="F37" s="157"/>
      <c r="G37" s="15">
        <f t="shared" si="3"/>
        <v>0</v>
      </c>
      <c r="H37" s="14">
        <f>Table13[[#This Row],['# holds 
per set]]*Table13[[#This Row],[Qty]]</f>
        <v>0</v>
      </c>
      <c r="I37" s="18">
        <v>8</v>
      </c>
      <c r="J37" s="18">
        <f>Table13[[#This Row],[Qty]]*Table13[[#This Row],['#bolts per set]]</f>
        <v>0</v>
      </c>
      <c r="K37" s="18">
        <v>1230</v>
      </c>
      <c r="L37" s="19">
        <v>8</v>
      </c>
      <c r="M37" s="18">
        <f>Table13[[#This Row],[Qty]]*Table13[[#This Row],['#screws per set]]</f>
        <v>0</v>
      </c>
      <c r="N37" s="18">
        <f>Table13[[#This Row],[Qty]]*Table13[[#This Row],[Weight / unit]]</f>
        <v>0</v>
      </c>
    </row>
    <row r="38" spans="1:14" s="9" customFormat="1" ht="20" customHeight="1" x14ac:dyDescent="0.35">
      <c r="A38" s="14" t="s">
        <v>175</v>
      </c>
      <c r="B38" s="11">
        <v>12</v>
      </c>
      <c r="C38" s="20">
        <f>Table13[[#This Row],[Price AUD
(incl. GST)]]/Table13[[#This Row],['# holds 
per set]]</f>
        <v>9.1666666666666661</v>
      </c>
      <c r="D38" s="13">
        <v>110</v>
      </c>
      <c r="E38" s="156"/>
      <c r="F38" s="157"/>
      <c r="G38" s="15">
        <f t="shared" ref="G38" si="5">E38*D38</f>
        <v>0</v>
      </c>
      <c r="H38" s="14">
        <f>Table13[[#This Row],['# holds 
per set]]*Table13[[#This Row],[Qty]]</f>
        <v>0</v>
      </c>
      <c r="I38" s="18">
        <v>12</v>
      </c>
      <c r="J38" s="18">
        <f>Table13[[#This Row],[Qty]]*Table13[[#This Row],['#bolts per set]]</f>
        <v>0</v>
      </c>
      <c r="K38" s="18">
        <v>1100</v>
      </c>
      <c r="L38" s="31">
        <v>13</v>
      </c>
      <c r="M38" s="18">
        <f>Table13[[#This Row],[Qty]]*Table13[[#This Row],['#screws per set]]</f>
        <v>0</v>
      </c>
      <c r="N38" s="18">
        <f>Table13[[#This Row],[Qty]]*Table13[[#This Row],[Weight / unit]]</f>
        <v>0</v>
      </c>
    </row>
    <row r="39" spans="1:14" s="9" customFormat="1" ht="20" customHeight="1" x14ac:dyDescent="0.35">
      <c r="A39" s="14" t="s">
        <v>321</v>
      </c>
      <c r="B39" s="11">
        <v>8</v>
      </c>
      <c r="C39" s="20">
        <f>Table13[[#This Row],[Price AUD
(incl. GST)]]/Table13[[#This Row],['# holds 
per set]]</f>
        <v>4</v>
      </c>
      <c r="D39" s="13">
        <v>32</v>
      </c>
      <c r="E39" s="156"/>
      <c r="F39" s="157"/>
      <c r="G39" s="15">
        <f t="shared" si="3"/>
        <v>0</v>
      </c>
      <c r="H39" s="14">
        <f>Table13[[#This Row],['# holds 
per set]]*Table13[[#This Row],[Qty]]</f>
        <v>0</v>
      </c>
      <c r="I39" s="18">
        <v>0</v>
      </c>
      <c r="J39" s="18">
        <f>Table13[[#This Row],[Qty]]*Table13[[#This Row],['#bolts per set]]</f>
        <v>0</v>
      </c>
      <c r="K39" s="18">
        <v>120</v>
      </c>
      <c r="L39" s="31">
        <v>16</v>
      </c>
      <c r="M39" s="18">
        <f>Table13[[#This Row],[Qty]]*Table13[[#This Row],['#screws per set]]</f>
        <v>0</v>
      </c>
      <c r="N39" s="18">
        <f>Table13[[#This Row],[Qty]]*Table13[[#This Row],[Weight / unit]]</f>
        <v>0</v>
      </c>
    </row>
    <row r="40" spans="1:14" s="9" customFormat="1" ht="6" customHeight="1" x14ac:dyDescent="0.35">
      <c r="A40" s="23"/>
      <c r="B40" s="23"/>
      <c r="C40" s="24"/>
      <c r="D40" s="25"/>
      <c r="E40" s="23"/>
      <c r="F40" s="23"/>
      <c r="G40" s="26"/>
      <c r="H40" s="27"/>
      <c r="I40" s="28"/>
      <c r="J40" s="28"/>
      <c r="K40" s="29"/>
      <c r="L40" s="30"/>
      <c r="M40" s="29"/>
      <c r="N40" s="28"/>
    </row>
    <row r="41" spans="1:14" s="9" customFormat="1" ht="20" customHeight="1" x14ac:dyDescent="0.35">
      <c r="A41" s="14" t="s">
        <v>65</v>
      </c>
      <c r="B41" s="11">
        <v>2</v>
      </c>
      <c r="C41" s="20">
        <f>Table13[[#This Row],[Price AUD
(incl. GST)]]/Table13[[#This Row],['# holds 
per set]]</f>
        <v>42</v>
      </c>
      <c r="D41" s="13">
        <v>84</v>
      </c>
      <c r="E41" s="156"/>
      <c r="F41" s="157"/>
      <c r="G41" s="15">
        <f>E41*D41</f>
        <v>0</v>
      </c>
      <c r="H41" s="14">
        <f>Table13[[#This Row],['# holds 
per set]]*Table13[[#This Row],[Qty]]</f>
        <v>0</v>
      </c>
      <c r="I41" s="18">
        <v>2</v>
      </c>
      <c r="J41" s="18">
        <f>Table13[[#This Row],[Qty]]*Table13[[#This Row],['#bolts per set]]</f>
        <v>0</v>
      </c>
      <c r="K41" s="18">
        <v>840</v>
      </c>
      <c r="L41" s="31">
        <v>2</v>
      </c>
      <c r="M41" s="18">
        <f>Table13[[#This Row],[Qty]]*Table13[[#This Row],['#screws per set]]</f>
        <v>0</v>
      </c>
      <c r="N41" s="18">
        <f>Table13[[#This Row],[Qty]]*Table13[[#This Row],[Weight / unit]]</f>
        <v>0</v>
      </c>
    </row>
    <row r="42" spans="1:14" s="9" customFormat="1" ht="20" customHeight="1" x14ac:dyDescent="0.35">
      <c r="A42" s="14" t="s">
        <v>66</v>
      </c>
      <c r="B42" s="11">
        <v>8</v>
      </c>
      <c r="C42" s="20">
        <f>Table13[[#This Row],[Price AUD
(incl. GST)]]/Table13[[#This Row],['# holds 
per set]]</f>
        <v>30</v>
      </c>
      <c r="D42" s="13">
        <v>240</v>
      </c>
      <c r="E42" s="156"/>
      <c r="F42" s="157"/>
      <c r="G42" s="15">
        <f t="shared" si="1"/>
        <v>0</v>
      </c>
      <c r="H42" s="14">
        <f>Table13[[#This Row],['# holds 
per set]]*Table13[[#This Row],[Qty]]</f>
        <v>0</v>
      </c>
      <c r="I42" s="18">
        <v>8</v>
      </c>
      <c r="J42" s="18">
        <f>Table13[[#This Row],[Qty]]*Table13[[#This Row],['#bolts per set]]</f>
        <v>0</v>
      </c>
      <c r="K42" s="18">
        <v>2400</v>
      </c>
      <c r="L42" s="31">
        <v>9</v>
      </c>
      <c r="M42" s="18">
        <f>Table13[[#This Row],[Qty]]*Table13[[#This Row],['#screws per set]]</f>
        <v>0</v>
      </c>
      <c r="N42" s="18">
        <f>Table13[[#This Row],[Qty]]*Table13[[#This Row],[Weight / unit]]</f>
        <v>0</v>
      </c>
    </row>
    <row r="43" spans="1:14" s="9" customFormat="1" ht="20" customHeight="1" x14ac:dyDescent="0.35">
      <c r="A43" s="14" t="s">
        <v>36</v>
      </c>
      <c r="B43" s="11">
        <v>9</v>
      </c>
      <c r="C43" s="20">
        <f>Table13[[#This Row],[Price AUD
(incl. GST)]]/Table13[[#This Row],['# holds 
per set]]</f>
        <v>14</v>
      </c>
      <c r="D43" s="13">
        <v>126</v>
      </c>
      <c r="E43" s="156"/>
      <c r="F43" s="157"/>
      <c r="G43" s="15">
        <f t="shared" si="1"/>
        <v>0</v>
      </c>
      <c r="H43" s="14">
        <f>Table13[[#This Row],['# holds 
per set]]*Table13[[#This Row],[Qty]]</f>
        <v>0</v>
      </c>
      <c r="I43" s="18">
        <v>9</v>
      </c>
      <c r="J43" s="18">
        <f>Table13[[#This Row],[Qty]]*Table13[[#This Row],['#bolts per set]]</f>
        <v>0</v>
      </c>
      <c r="K43" s="18">
        <v>1260</v>
      </c>
      <c r="L43" s="31">
        <v>9</v>
      </c>
      <c r="M43" s="18">
        <f>Table13[[#This Row],[Qty]]*Table13[[#This Row],['#screws per set]]</f>
        <v>0</v>
      </c>
      <c r="N43" s="18">
        <f>Table13[[#This Row],[Qty]]*Table13[[#This Row],[Weight / unit]]</f>
        <v>0</v>
      </c>
    </row>
    <row r="44" spans="1:14" s="9" customFormat="1" ht="20" customHeight="1" x14ac:dyDescent="0.35">
      <c r="A44" s="14" t="s">
        <v>38</v>
      </c>
      <c r="B44" s="11">
        <v>12</v>
      </c>
      <c r="C44" s="20">
        <f>Table13[[#This Row],[Price AUD
(incl. GST)]]/Table13[[#This Row],['# holds 
per set]]</f>
        <v>5.833333333333333</v>
      </c>
      <c r="D44" s="13">
        <v>70</v>
      </c>
      <c r="E44" s="156"/>
      <c r="F44" s="157"/>
      <c r="G44" s="15">
        <f>E44*D44</f>
        <v>0</v>
      </c>
      <c r="H44" s="14">
        <f>Table13[[#This Row],['# holds 
per set]]*Table13[[#This Row],[Qty]]</f>
        <v>0</v>
      </c>
      <c r="I44" s="18">
        <v>0</v>
      </c>
      <c r="J44" s="18">
        <f>Table13[[#This Row],[Qty]]*Table13[[#This Row],['#bolts per set]]</f>
        <v>0</v>
      </c>
      <c r="K44" s="18">
        <v>695</v>
      </c>
      <c r="L44" s="31">
        <v>24</v>
      </c>
      <c r="M44" s="18">
        <f>Table13[[#This Row],[Qty]]*Table13[[#This Row],['#screws per set]]</f>
        <v>0</v>
      </c>
      <c r="N44" s="18">
        <f>Table13[[#This Row],[Qty]]*Table13[[#This Row],[Weight / unit]]</f>
        <v>0</v>
      </c>
    </row>
    <row r="45" spans="1:14" s="9" customFormat="1" ht="20" customHeight="1" x14ac:dyDescent="0.35">
      <c r="A45" s="14" t="s">
        <v>67</v>
      </c>
      <c r="B45" s="11">
        <v>8</v>
      </c>
      <c r="C45" s="20">
        <f>Table13[[#This Row],[Price AUD
(incl. GST)]]/Table13[[#This Row],['# holds 
per set]]</f>
        <v>20</v>
      </c>
      <c r="D45" s="13">
        <v>160</v>
      </c>
      <c r="E45" s="156"/>
      <c r="F45" s="157"/>
      <c r="G45" s="15">
        <f t="shared" si="1"/>
        <v>0</v>
      </c>
      <c r="H45" s="14">
        <f>Table13[[#This Row],['# holds 
per set]]*Table13[[#This Row],[Qty]]</f>
        <v>0</v>
      </c>
      <c r="I45" s="18">
        <v>8</v>
      </c>
      <c r="J45" s="18">
        <f>Table13[[#This Row],[Qty]]*Table13[[#This Row],['#bolts per set]]</f>
        <v>0</v>
      </c>
      <c r="K45" s="18">
        <v>1600</v>
      </c>
      <c r="L45" s="31">
        <v>8</v>
      </c>
      <c r="M45" s="18">
        <f>Table13[[#This Row],[Qty]]*Table13[[#This Row],['#screws per set]]</f>
        <v>0</v>
      </c>
      <c r="N45" s="18">
        <f>Table13[[#This Row],[Qty]]*Table13[[#This Row],[Weight / unit]]</f>
        <v>0</v>
      </c>
    </row>
    <row r="46" spans="1:14" s="9" customFormat="1" ht="20" customHeight="1" x14ac:dyDescent="0.35">
      <c r="A46" s="14" t="s">
        <v>68</v>
      </c>
      <c r="B46" s="11">
        <v>8</v>
      </c>
      <c r="C46" s="22">
        <f>Table13[[#This Row],[Price AUD
(incl. GST)]]/Table13[[#This Row],['# holds 
per set]]</f>
        <v>30.625</v>
      </c>
      <c r="D46" s="13">
        <v>245</v>
      </c>
      <c r="E46" s="156"/>
      <c r="F46" s="157"/>
      <c r="G46" s="15">
        <f t="shared" si="1"/>
        <v>0</v>
      </c>
      <c r="H46" s="16">
        <f>Table13[[#This Row],['# holds 
per set]]*Table13[[#This Row],[Qty]]</f>
        <v>0</v>
      </c>
      <c r="I46" s="17">
        <v>8</v>
      </c>
      <c r="J46" s="17">
        <f>Table13[[#This Row],[Qty]]*Table13[[#This Row],['#bolts per set]]</f>
        <v>0</v>
      </c>
      <c r="K46" s="17">
        <v>2450</v>
      </c>
      <c r="L46" s="31">
        <v>8</v>
      </c>
      <c r="M46" s="17">
        <f>Table13[[#This Row],[Qty]]*Table13[[#This Row],['#screws per set]]</f>
        <v>0</v>
      </c>
      <c r="N46" s="17">
        <f>Table13[[#This Row],[Qty]]*Table13[[#This Row],[Weight / unit]]</f>
        <v>0</v>
      </c>
    </row>
    <row r="47" spans="1:14" s="9" customFormat="1" ht="20" customHeight="1" x14ac:dyDescent="0.35">
      <c r="A47" s="14" t="s">
        <v>69</v>
      </c>
      <c r="B47" s="11">
        <v>4</v>
      </c>
      <c r="C47" s="20">
        <f>Table13[[#This Row],[Price AUD
(incl. GST)]]/Table13[[#This Row],['# holds 
per set]]</f>
        <v>55</v>
      </c>
      <c r="D47" s="13">
        <v>220</v>
      </c>
      <c r="E47" s="156"/>
      <c r="F47" s="157"/>
      <c r="G47" s="15">
        <f t="shared" si="1"/>
        <v>0</v>
      </c>
      <c r="H47" s="14">
        <f>Table13[[#This Row],['# holds 
per set]]*Table13[[#This Row],[Qty]]</f>
        <v>0</v>
      </c>
      <c r="I47" s="18">
        <v>4</v>
      </c>
      <c r="J47" s="18">
        <f>Table13[[#This Row],[Qty]]*Table13[[#This Row],['#bolts per set]]</f>
        <v>0</v>
      </c>
      <c r="K47" s="18">
        <v>2200</v>
      </c>
      <c r="L47" s="31">
        <v>4</v>
      </c>
      <c r="M47" s="18">
        <f>Table13[[#This Row],[Qty]]*Table13[[#This Row],['#screws per set]]</f>
        <v>0</v>
      </c>
      <c r="N47" s="18">
        <f>Table13[[#This Row],[Qty]]*Table13[[#This Row],[Weight / unit]]</f>
        <v>0</v>
      </c>
    </row>
    <row r="48" spans="1:14" s="9" customFormat="1" ht="20" customHeight="1" x14ac:dyDescent="0.35">
      <c r="A48" s="14" t="s">
        <v>148</v>
      </c>
      <c r="B48" s="11">
        <v>8</v>
      </c>
      <c r="C48" s="20">
        <f>Table13[[#This Row],[Price AUD
(incl. GST)]]/Table13[[#This Row],['# holds 
per set]]</f>
        <v>17.625</v>
      </c>
      <c r="D48" s="13">
        <v>141</v>
      </c>
      <c r="E48" s="156"/>
      <c r="F48" s="157"/>
      <c r="G48" s="15">
        <f t="shared" ref="G48:G50" si="6">E48*D48</f>
        <v>0</v>
      </c>
      <c r="H48" s="14">
        <f>Table13[[#This Row],['# holds 
per set]]*Table13[[#This Row],[Qty]]</f>
        <v>0</v>
      </c>
      <c r="I48" s="18">
        <v>8</v>
      </c>
      <c r="J48" s="18">
        <f>Table13[[#This Row],[Qty]]*Table13[[#This Row],['#bolts per set]]</f>
        <v>0</v>
      </c>
      <c r="K48" s="18">
        <v>1410</v>
      </c>
      <c r="L48" s="31">
        <v>8</v>
      </c>
      <c r="M48" s="18">
        <f>Table13[[#This Row],[Qty]]*Table13[[#This Row],['#screws per set]]</f>
        <v>0</v>
      </c>
      <c r="N48" s="18">
        <f>Table13[[#This Row],[Qty]]*Table13[[#This Row],[Weight / unit]]</f>
        <v>0</v>
      </c>
    </row>
    <row r="49" spans="1:14" s="9" customFormat="1" ht="20" customHeight="1" x14ac:dyDescent="0.35">
      <c r="A49" s="14" t="s">
        <v>149</v>
      </c>
      <c r="B49" s="11">
        <v>8</v>
      </c>
      <c r="C49" s="20">
        <f>Table13[[#This Row],[Price AUD
(incl. GST)]]/Table13[[#This Row],['# holds 
per set]]</f>
        <v>20.625</v>
      </c>
      <c r="D49" s="13">
        <v>165</v>
      </c>
      <c r="E49" s="156"/>
      <c r="F49" s="157"/>
      <c r="G49" s="15">
        <f t="shared" si="6"/>
        <v>0</v>
      </c>
      <c r="H49" s="14">
        <f>Table13[[#This Row],['# holds 
per set]]*Table13[[#This Row],[Qty]]</f>
        <v>0</v>
      </c>
      <c r="I49" s="18">
        <v>8</v>
      </c>
      <c r="J49" s="18">
        <f>Table13[[#This Row],[Qty]]*Table13[[#This Row],['#bolts per set]]</f>
        <v>0</v>
      </c>
      <c r="K49" s="18">
        <v>1650</v>
      </c>
      <c r="L49" s="31">
        <v>8</v>
      </c>
      <c r="M49" s="18">
        <f>Table13[[#This Row],[Qty]]*Table13[[#This Row],['#screws per set]]</f>
        <v>0</v>
      </c>
      <c r="N49" s="18">
        <f>Table13[[#This Row],[Qty]]*Table13[[#This Row],[Weight / unit]]</f>
        <v>0</v>
      </c>
    </row>
    <row r="50" spans="1:14" s="9" customFormat="1" ht="20" customHeight="1" x14ac:dyDescent="0.35">
      <c r="A50" s="14" t="s">
        <v>172</v>
      </c>
      <c r="B50" s="11">
        <v>8</v>
      </c>
      <c r="C50" s="20">
        <f>Table13[[#This Row],[Price AUD
(incl. GST)]]/Table13[[#This Row],['# holds 
per set]]</f>
        <v>50</v>
      </c>
      <c r="D50" s="13">
        <v>400</v>
      </c>
      <c r="E50" s="156"/>
      <c r="F50" s="157"/>
      <c r="G50" s="15">
        <f t="shared" si="6"/>
        <v>0</v>
      </c>
      <c r="H50" s="16">
        <f>Table13[[#This Row],['# holds 
per set]]*Table13[[#This Row],[Qty]]</f>
        <v>0</v>
      </c>
      <c r="I50" s="17">
        <v>8</v>
      </c>
      <c r="J50" s="17">
        <f>Table13[[#This Row],[Qty]]*Table13[[#This Row],['#bolts per set]]</f>
        <v>0</v>
      </c>
      <c r="K50" s="18">
        <v>4000</v>
      </c>
      <c r="L50" s="19">
        <v>11</v>
      </c>
      <c r="M50" s="18">
        <f>Table13[[#This Row],[Qty]]*Table13[[#This Row],['#screws per set]]</f>
        <v>0</v>
      </c>
      <c r="N50" s="17">
        <f>Table13[[#This Row],[Qty]]*Table13[[#This Row],[Weight / unit]]</f>
        <v>0</v>
      </c>
    </row>
    <row r="51" spans="1:14" s="9" customFormat="1" ht="20" customHeight="1" x14ac:dyDescent="0.35">
      <c r="A51" s="14" t="s">
        <v>193</v>
      </c>
      <c r="B51" s="11">
        <v>3</v>
      </c>
      <c r="C51" s="20">
        <f>Table13[[#This Row],[Price AUD
(incl. GST)]]/Table13[[#This Row],['# holds 
per set]]</f>
        <v>90</v>
      </c>
      <c r="D51" s="13">
        <v>270</v>
      </c>
      <c r="E51" s="156"/>
      <c r="F51" s="157"/>
      <c r="G51" s="15">
        <f t="shared" ref="G51:G52" si="7">E51*D51</f>
        <v>0</v>
      </c>
      <c r="H51" s="16">
        <f>Table13[[#This Row],['# holds 
per set]]*Table13[[#This Row],[Qty]]</f>
        <v>0</v>
      </c>
      <c r="I51" s="17">
        <v>3</v>
      </c>
      <c r="J51" s="17">
        <f>Table13[[#This Row],[Qty]]*Table13[[#This Row],['#bolts per set]]</f>
        <v>0</v>
      </c>
      <c r="K51" s="18">
        <v>2700</v>
      </c>
      <c r="L51" s="19">
        <v>6</v>
      </c>
      <c r="M51" s="18">
        <f>Table13[[#This Row],[Qty]]*Table13[[#This Row],['#screws per set]]</f>
        <v>0</v>
      </c>
      <c r="N51" s="17">
        <f>Table13[[#This Row],[Qty]]*Table13[[#This Row],[Weight / unit]]</f>
        <v>0</v>
      </c>
    </row>
    <row r="52" spans="1:14" s="9" customFormat="1" ht="20" customHeight="1" x14ac:dyDescent="0.35">
      <c r="A52" s="14" t="s">
        <v>196</v>
      </c>
      <c r="B52" s="11">
        <v>8</v>
      </c>
      <c r="C52" s="20">
        <f>Table13[[#This Row],[Price AUD
(incl. GST)]]/Table13[[#This Row],['# holds 
per set]]</f>
        <v>29.375</v>
      </c>
      <c r="D52" s="13">
        <v>235</v>
      </c>
      <c r="E52" s="156"/>
      <c r="F52" s="157"/>
      <c r="G52" s="15">
        <f t="shared" si="7"/>
        <v>0</v>
      </c>
      <c r="H52" s="16">
        <f>Table13[[#This Row],['# holds 
per set]]*Table13[[#This Row],[Qty]]</f>
        <v>0</v>
      </c>
      <c r="I52" s="17">
        <v>8</v>
      </c>
      <c r="J52" s="17">
        <f>Table13[[#This Row],[Qty]]*Table13[[#This Row],['#bolts per set]]</f>
        <v>0</v>
      </c>
      <c r="K52" s="18">
        <v>2350</v>
      </c>
      <c r="L52" s="19">
        <v>8</v>
      </c>
      <c r="M52" s="18">
        <f>Table13[[#This Row],[Qty]]*Table13[[#This Row],['#screws per set]]</f>
        <v>0</v>
      </c>
      <c r="N52" s="17">
        <f>Table13[[#This Row],[Qty]]*Table13[[#This Row],[Weight / unit]]</f>
        <v>0</v>
      </c>
    </row>
    <row r="53" spans="1:14" s="9" customFormat="1" ht="20" customHeight="1" x14ac:dyDescent="0.35">
      <c r="A53" s="14" t="s">
        <v>286</v>
      </c>
      <c r="B53" s="11">
        <v>8</v>
      </c>
      <c r="C53" s="20">
        <f>Table13[[#This Row],[Price AUD
(incl. GST)]]/Table13[[#This Row],['# holds 
per set]]</f>
        <v>18.625</v>
      </c>
      <c r="D53" s="13">
        <v>149</v>
      </c>
      <c r="E53" s="156"/>
      <c r="F53" s="157"/>
      <c r="G53" s="15">
        <f t="shared" ref="G53:G54" si="8">E53*D53</f>
        <v>0</v>
      </c>
      <c r="H53" s="16">
        <f>Table13[[#This Row],['# holds 
per set]]*Table13[[#This Row],[Qty]]</f>
        <v>0</v>
      </c>
      <c r="I53" s="17">
        <v>8</v>
      </c>
      <c r="J53" s="17">
        <f>Table13[[#This Row],[Qty]]*Table13[[#This Row],['#bolts per set]]</f>
        <v>0</v>
      </c>
      <c r="K53" s="18">
        <v>1490</v>
      </c>
      <c r="L53" s="19">
        <v>8</v>
      </c>
      <c r="M53" s="18">
        <f>Table13[[#This Row],[Qty]]*Table13[[#This Row],['#screws per set]]</f>
        <v>0</v>
      </c>
      <c r="N53" s="17">
        <f>Table13[[#This Row],[Qty]]*Table13[[#This Row],[Weight / unit]]</f>
        <v>0</v>
      </c>
    </row>
    <row r="54" spans="1:14" s="9" customFormat="1" ht="20" customHeight="1" x14ac:dyDescent="0.35">
      <c r="A54" s="14" t="s">
        <v>291</v>
      </c>
      <c r="B54" s="11">
        <v>8</v>
      </c>
      <c r="C54" s="20">
        <f>Table13[[#This Row],[Price AUD
(incl. GST)]]/Table13[[#This Row],['# holds 
per set]]</f>
        <v>11</v>
      </c>
      <c r="D54" s="13">
        <v>88</v>
      </c>
      <c r="E54" s="156"/>
      <c r="F54" s="157"/>
      <c r="G54" s="15">
        <f t="shared" si="8"/>
        <v>0</v>
      </c>
      <c r="H54" s="16">
        <f>Table13[[#This Row],['# holds 
per set]]*Table13[[#This Row],[Qty]]</f>
        <v>0</v>
      </c>
      <c r="I54" s="17">
        <v>8</v>
      </c>
      <c r="J54" s="17">
        <f>Table13[[#This Row],[Qty]]*Table13[[#This Row],['#bolts per set]]</f>
        <v>0</v>
      </c>
      <c r="K54" s="18">
        <v>880</v>
      </c>
      <c r="L54" s="19">
        <v>8</v>
      </c>
      <c r="M54" s="18">
        <f>Table13[[#This Row],[Qty]]*Table13[[#This Row],['#screws per set]]</f>
        <v>0</v>
      </c>
      <c r="N54" s="17">
        <f>Table13[[#This Row],[Qty]]*Table13[[#This Row],[Weight / unit]]</f>
        <v>0</v>
      </c>
    </row>
    <row r="55" spans="1:14" s="9" customFormat="1" ht="20" customHeight="1" x14ac:dyDescent="0.35">
      <c r="A55" s="14" t="s">
        <v>299</v>
      </c>
      <c r="B55" s="11">
        <v>8</v>
      </c>
      <c r="C55" s="20">
        <f>Table13[[#This Row],[Price AUD
(incl. GST)]]/Table13[[#This Row],['# holds 
per set]]</f>
        <v>18.375</v>
      </c>
      <c r="D55" s="13">
        <v>147</v>
      </c>
      <c r="E55" s="156"/>
      <c r="F55" s="157"/>
      <c r="G55" s="15">
        <f t="shared" ref="G55" si="9">E55*D55</f>
        <v>0</v>
      </c>
      <c r="H55" s="16">
        <f>Table13[[#This Row],['# holds 
per set]]*Table13[[#This Row],[Qty]]</f>
        <v>0</v>
      </c>
      <c r="I55" s="17">
        <v>8</v>
      </c>
      <c r="J55" s="17">
        <f>Table13[[#This Row],[Qty]]*Table13[[#This Row],['#bolts per set]]</f>
        <v>0</v>
      </c>
      <c r="K55" s="18">
        <v>1470</v>
      </c>
      <c r="L55" s="19">
        <v>8</v>
      </c>
      <c r="M55" s="17">
        <f>Table13[[#This Row],[Qty]]*Table13[[#This Row],['#screws per set]]</f>
        <v>0</v>
      </c>
      <c r="N55" s="17">
        <f>Table13[[#This Row],[Qty]]*Table13[[#This Row],[Weight / unit]]</f>
        <v>0</v>
      </c>
    </row>
    <row r="56" spans="1:14" s="9" customFormat="1" ht="20" customHeight="1" x14ac:dyDescent="0.35">
      <c r="A56" s="10" t="s">
        <v>300</v>
      </c>
      <c r="B56" s="11">
        <v>8</v>
      </c>
      <c r="C56" s="32">
        <f>Table13[[#This Row],[Price AUD
(incl. GST)]]/Table13[[#This Row],['# holds 
per set]]</f>
        <v>20.625</v>
      </c>
      <c r="D56" s="13">
        <v>165</v>
      </c>
      <c r="E56" s="156"/>
      <c r="F56" s="157"/>
      <c r="G56" s="15">
        <f>E56*D56</f>
        <v>0</v>
      </c>
      <c r="H56" s="16">
        <f>Table13[[#This Row],['# holds 
per set]]*Table13[[#This Row],[Qty]]</f>
        <v>0</v>
      </c>
      <c r="I56" s="17">
        <v>0</v>
      </c>
      <c r="J56" s="17">
        <f>Table13[[#This Row],[Qty]]*Table13[[#This Row],['#bolts per set]]</f>
        <v>0</v>
      </c>
      <c r="K56" s="18">
        <v>1650</v>
      </c>
      <c r="L56" s="19">
        <v>24</v>
      </c>
      <c r="M56" s="17">
        <f>Table13[[#This Row],[Qty]]*Table13[[#This Row],['#screws per set]]</f>
        <v>0</v>
      </c>
      <c r="N56" s="17">
        <f>Table13[[#This Row],[Qty]]*Table13[[#This Row],[Weight / unit]]</f>
        <v>0</v>
      </c>
    </row>
    <row r="57" spans="1:14" s="9" customFormat="1" ht="20" customHeight="1" x14ac:dyDescent="0.35">
      <c r="A57" s="14" t="s">
        <v>301</v>
      </c>
      <c r="B57" s="11">
        <v>8</v>
      </c>
      <c r="C57" s="20">
        <f>Table13[[#This Row],[Price AUD
(incl. GST)]]/Table13[[#This Row],['# holds 
per set]]</f>
        <v>9.375</v>
      </c>
      <c r="D57" s="13">
        <v>75</v>
      </c>
      <c r="E57" s="156"/>
      <c r="F57" s="157"/>
      <c r="G57" s="15">
        <f t="shared" ref="G57" si="10">E57*D57</f>
        <v>0</v>
      </c>
      <c r="H57" s="16">
        <f>Table13[[#This Row],['# holds 
per set]]*Table13[[#This Row],[Qty]]</f>
        <v>0</v>
      </c>
      <c r="I57" s="17">
        <v>0</v>
      </c>
      <c r="J57" s="17">
        <f>Table13[[#This Row],[Qty]]*Table13[[#This Row],['#bolts per set]]</f>
        <v>0</v>
      </c>
      <c r="K57" s="18">
        <v>750</v>
      </c>
      <c r="L57" s="19">
        <v>24</v>
      </c>
      <c r="M57" s="18">
        <f>Table13[[#This Row],[Qty]]*Table13[[#This Row],['#screws per set]]</f>
        <v>0</v>
      </c>
      <c r="N57" s="17">
        <f>Table13[[#This Row],[Qty]]*Table13[[#This Row],[Weight / unit]]</f>
        <v>0</v>
      </c>
    </row>
    <row r="58" spans="1:14" s="9" customFormat="1" ht="6" customHeight="1" x14ac:dyDescent="0.35">
      <c r="A58" s="23"/>
      <c r="B58" s="23"/>
      <c r="C58" s="24"/>
      <c r="D58" s="33"/>
      <c r="E58" s="23"/>
      <c r="F58" s="23"/>
      <c r="G58" s="26"/>
      <c r="H58" s="27"/>
      <c r="I58" s="28"/>
      <c r="J58" s="28"/>
      <c r="K58" s="29"/>
      <c r="L58" s="30"/>
      <c r="M58" s="29"/>
      <c r="N58" s="28"/>
    </row>
    <row r="59" spans="1:14" s="9" customFormat="1" ht="20" customHeight="1" x14ac:dyDescent="0.35">
      <c r="A59" s="14" t="s">
        <v>4</v>
      </c>
      <c r="B59" s="11">
        <v>8</v>
      </c>
      <c r="C59" s="20">
        <f>Table13[[#This Row],[Price AUD
(incl. GST)]]/Table13[[#This Row],['# holds 
per set]]</f>
        <v>49.875</v>
      </c>
      <c r="D59" s="13">
        <v>399</v>
      </c>
      <c r="E59" s="156"/>
      <c r="F59" s="157"/>
      <c r="G59" s="15">
        <f t="shared" si="1"/>
        <v>0</v>
      </c>
      <c r="H59" s="14">
        <f>Table13[[#This Row],['# holds 
per set]]*Table13[[#This Row],[Qty]]</f>
        <v>0</v>
      </c>
      <c r="I59" s="18">
        <v>8</v>
      </c>
      <c r="J59" s="18">
        <f>Table13[[#This Row],[Qty]]*Table13[[#This Row],['#bolts per set]]</f>
        <v>0</v>
      </c>
      <c r="K59" s="18">
        <v>3990</v>
      </c>
      <c r="L59" s="19">
        <v>8</v>
      </c>
      <c r="M59" s="18">
        <f>Table13[[#This Row],[Qty]]*Table13[[#This Row],['#screws per set]]</f>
        <v>0</v>
      </c>
      <c r="N59" s="18">
        <f>Table13[[#This Row],[Qty]]*Table13[[#This Row],[Weight / unit]]</f>
        <v>0</v>
      </c>
    </row>
    <row r="60" spans="1:14" s="9" customFormat="1" ht="20" customHeight="1" x14ac:dyDescent="0.35">
      <c r="A60" s="14" t="s">
        <v>5</v>
      </c>
      <c r="B60" s="11">
        <v>8</v>
      </c>
      <c r="C60" s="20">
        <f>Table13[[#This Row],[Price AUD
(incl. GST)]]/Table13[[#This Row],['# holds 
per set]]</f>
        <v>44</v>
      </c>
      <c r="D60" s="13">
        <v>352</v>
      </c>
      <c r="E60" s="156"/>
      <c r="F60" s="157"/>
      <c r="G60" s="15">
        <f>E60*D60</f>
        <v>0</v>
      </c>
      <c r="H60" s="14">
        <f>Table13[[#This Row],['# holds 
per set]]*Table13[[#This Row],[Qty]]</f>
        <v>0</v>
      </c>
      <c r="I60" s="18">
        <v>8</v>
      </c>
      <c r="J60" s="18">
        <f>Table13[[#This Row],[Qty]]*Table13[[#This Row],['#bolts per set]]</f>
        <v>0</v>
      </c>
      <c r="K60" s="18">
        <v>3515</v>
      </c>
      <c r="L60" s="19">
        <v>8</v>
      </c>
      <c r="M60" s="18">
        <f>Table13[[#This Row],[Qty]]*Table13[[#This Row],['#screws per set]]</f>
        <v>0</v>
      </c>
      <c r="N60" s="18">
        <f>Table13[[#This Row],[Qty]]*Table13[[#This Row],[Weight / unit]]</f>
        <v>0</v>
      </c>
    </row>
    <row r="61" spans="1:14" s="9" customFormat="1" ht="20" customHeight="1" x14ac:dyDescent="0.35">
      <c r="A61" s="14" t="s">
        <v>33</v>
      </c>
      <c r="B61" s="11">
        <v>8</v>
      </c>
      <c r="C61" s="20">
        <f>Table13[[#This Row],[Price AUD
(incl. GST)]]/Table13[[#This Row],['# holds 
per set]]</f>
        <v>126.375</v>
      </c>
      <c r="D61" s="13">
        <v>1011</v>
      </c>
      <c r="E61" s="156"/>
      <c r="F61" s="157"/>
      <c r="G61" s="15">
        <f t="shared" si="1"/>
        <v>0</v>
      </c>
      <c r="H61" s="14">
        <f>Table13[[#This Row],['# holds 
per set]]*Table13[[#This Row],[Qty]]</f>
        <v>0</v>
      </c>
      <c r="I61" s="18">
        <v>8</v>
      </c>
      <c r="J61" s="18">
        <f>Table13[[#This Row],[Qty]]*Table13[[#This Row],['#bolts per set]]</f>
        <v>0</v>
      </c>
      <c r="K61" s="18">
        <v>10110</v>
      </c>
      <c r="L61" s="19">
        <v>13</v>
      </c>
      <c r="M61" s="18">
        <f>Table13[[#This Row],[Qty]]*Table13[[#This Row],['#screws per set]]</f>
        <v>0</v>
      </c>
      <c r="N61" s="18">
        <f>Table13[[#This Row],[Qty]]*Table13[[#This Row],[Weight / unit]]</f>
        <v>0</v>
      </c>
    </row>
    <row r="62" spans="1:14" s="9" customFormat="1" ht="20" customHeight="1" x14ac:dyDescent="0.35">
      <c r="A62" s="14" t="s">
        <v>6</v>
      </c>
      <c r="B62" s="11">
        <v>8</v>
      </c>
      <c r="C62" s="20">
        <f>Table13[[#This Row],[Price AUD
(incl. GST)]]/Table13[[#This Row],['# holds 
per set]]</f>
        <v>53</v>
      </c>
      <c r="D62" s="13">
        <v>424</v>
      </c>
      <c r="E62" s="156"/>
      <c r="F62" s="157"/>
      <c r="G62" s="15">
        <f t="shared" si="1"/>
        <v>0</v>
      </c>
      <c r="H62" s="14">
        <f>Table13[[#This Row],['# holds 
per set]]*Table13[[#This Row],[Qty]]</f>
        <v>0</v>
      </c>
      <c r="I62" s="18">
        <v>8</v>
      </c>
      <c r="J62" s="18">
        <f>Table13[[#This Row],[Qty]]*Table13[[#This Row],['#bolts per set]]</f>
        <v>0</v>
      </c>
      <c r="K62" s="18">
        <v>4240</v>
      </c>
      <c r="L62" s="19">
        <v>8</v>
      </c>
      <c r="M62" s="18">
        <f>Table13[[#This Row],[Qty]]*Table13[[#This Row],['#screws per set]]</f>
        <v>0</v>
      </c>
      <c r="N62" s="18">
        <f>Table13[[#This Row],[Qty]]*Table13[[#This Row],[Weight / unit]]</f>
        <v>0</v>
      </c>
    </row>
    <row r="63" spans="1:14" s="9" customFormat="1" ht="20" customHeight="1" x14ac:dyDescent="0.35">
      <c r="A63" s="14" t="s">
        <v>7</v>
      </c>
      <c r="B63" s="11">
        <v>12</v>
      </c>
      <c r="C63" s="20">
        <f>Table13[[#This Row],[Price AUD
(incl. GST)]]/Table13[[#This Row],['# holds 
per set]]</f>
        <v>39.083333333333336</v>
      </c>
      <c r="D63" s="13">
        <v>469</v>
      </c>
      <c r="E63" s="156"/>
      <c r="F63" s="157"/>
      <c r="G63" s="15">
        <f t="shared" si="1"/>
        <v>0</v>
      </c>
      <c r="H63" s="14">
        <f>Table13[[#This Row],['# holds 
per set]]*Table13[[#This Row],[Qty]]</f>
        <v>0</v>
      </c>
      <c r="I63" s="18">
        <v>12</v>
      </c>
      <c r="J63" s="18">
        <f>Table13[[#This Row],[Qty]]*Table13[[#This Row],['#bolts per set]]</f>
        <v>0</v>
      </c>
      <c r="K63" s="18">
        <v>4690</v>
      </c>
      <c r="L63" s="19">
        <v>12</v>
      </c>
      <c r="M63" s="18">
        <f>Table13[[#This Row],[Qty]]*Table13[[#This Row],['#screws per set]]</f>
        <v>0</v>
      </c>
      <c r="N63" s="18">
        <f>Table13[[#This Row],[Qty]]*Table13[[#This Row],[Weight / unit]]</f>
        <v>0</v>
      </c>
    </row>
    <row r="64" spans="1:14" s="9" customFormat="1" ht="20" customHeight="1" x14ac:dyDescent="0.35">
      <c r="A64" s="14" t="s">
        <v>113</v>
      </c>
      <c r="B64" s="11">
        <v>8</v>
      </c>
      <c r="C64" s="20">
        <f>Table13[[#This Row],[Price AUD
(incl. GST)]]/Table13[[#This Row],['# holds 
per set]]</f>
        <v>182.5</v>
      </c>
      <c r="D64" s="13">
        <v>1460</v>
      </c>
      <c r="E64" s="156"/>
      <c r="F64" s="157"/>
      <c r="G64" s="15">
        <f t="shared" si="1"/>
        <v>0</v>
      </c>
      <c r="H64" s="14">
        <f>Table13[[#This Row],['# holds 
per set]]*Table13[[#This Row],[Qty]]</f>
        <v>0</v>
      </c>
      <c r="I64" s="18">
        <v>8</v>
      </c>
      <c r="J64" s="18">
        <f>Table13[[#This Row],[Qty]]*Table13[[#This Row],['#bolts per set]]</f>
        <v>0</v>
      </c>
      <c r="K64" s="18">
        <v>14600</v>
      </c>
      <c r="L64" s="19">
        <v>14</v>
      </c>
      <c r="M64" s="18">
        <f>Table13[[#This Row],[Qty]]*Table13[[#This Row],['#screws per set]]</f>
        <v>0</v>
      </c>
      <c r="N64" s="18">
        <f>Table13[[#This Row],[Qty]]*Table13[[#This Row],[Weight / unit]]</f>
        <v>0</v>
      </c>
    </row>
    <row r="65" spans="1:14" s="9" customFormat="1" ht="20" customHeight="1" x14ac:dyDescent="0.35">
      <c r="A65" s="14" t="s">
        <v>70</v>
      </c>
      <c r="B65" s="11">
        <v>8</v>
      </c>
      <c r="C65" s="20">
        <f>Table13[[#This Row],[Price AUD
(incl. GST)]]/Table13[[#This Row],['# holds 
per set]]</f>
        <v>33.875</v>
      </c>
      <c r="D65" s="13">
        <v>271</v>
      </c>
      <c r="E65" s="156"/>
      <c r="F65" s="157"/>
      <c r="G65" s="15">
        <f t="shared" si="1"/>
        <v>0</v>
      </c>
      <c r="H65" s="14">
        <f>Table13[[#This Row],['# holds 
per set]]*Table13[[#This Row],[Qty]]</f>
        <v>0</v>
      </c>
      <c r="I65" s="18">
        <v>8</v>
      </c>
      <c r="J65" s="18">
        <f>Table13[[#This Row],[Qty]]*Table13[[#This Row],['#bolts per set]]</f>
        <v>0</v>
      </c>
      <c r="K65" s="18">
        <v>2710</v>
      </c>
      <c r="L65" s="19">
        <v>8</v>
      </c>
      <c r="M65" s="18">
        <f>Table13[[#This Row],[Qty]]*Table13[[#This Row],['#screws per set]]</f>
        <v>0</v>
      </c>
      <c r="N65" s="18">
        <f>Table13[[#This Row],[Qty]]*Table13[[#This Row],[Weight / unit]]</f>
        <v>0</v>
      </c>
    </row>
    <row r="66" spans="1:14" s="9" customFormat="1" ht="20" customHeight="1" x14ac:dyDescent="0.35">
      <c r="A66" s="14" t="s">
        <v>194</v>
      </c>
      <c r="B66" s="11">
        <v>8</v>
      </c>
      <c r="C66" s="20">
        <f>Table13[[#This Row],[Price AUD
(incl. GST)]]/Table13[[#This Row],['# holds 
per set]]</f>
        <v>9.5</v>
      </c>
      <c r="D66" s="13">
        <v>76</v>
      </c>
      <c r="E66" s="156"/>
      <c r="F66" s="157"/>
      <c r="G66" s="15">
        <f t="shared" ref="G66" si="11">E66*D66</f>
        <v>0</v>
      </c>
      <c r="H66" s="14">
        <f>Table13[[#This Row],['# holds 
per set]]*Table13[[#This Row],[Qty]]</f>
        <v>0</v>
      </c>
      <c r="I66" s="18">
        <v>8</v>
      </c>
      <c r="J66" s="18">
        <f>Table13[[#This Row],[Qty]]*Table13[[#This Row],['#bolts per set]]</f>
        <v>0</v>
      </c>
      <c r="K66" s="18">
        <v>760</v>
      </c>
      <c r="L66" s="19">
        <v>8</v>
      </c>
      <c r="M66" s="18">
        <f>Table13[[#This Row],[Qty]]*Table13[[#This Row],['#screws per set]]</f>
        <v>0</v>
      </c>
      <c r="N66" s="18">
        <f>Table13[[#This Row],[Qty]]*Table13[[#This Row],[Weight / unit]]</f>
        <v>0</v>
      </c>
    </row>
    <row r="67" spans="1:14" s="9" customFormat="1" ht="20" customHeight="1" x14ac:dyDescent="0.35">
      <c r="A67" s="14" t="s">
        <v>8</v>
      </c>
      <c r="B67" s="11">
        <v>12</v>
      </c>
      <c r="C67" s="20">
        <f>Table13[[#This Row],[Price AUD
(incl. GST)]]/Table13[[#This Row],['# holds 
per set]]</f>
        <v>24</v>
      </c>
      <c r="D67" s="13">
        <v>288</v>
      </c>
      <c r="E67" s="156"/>
      <c r="F67" s="157"/>
      <c r="G67" s="15">
        <f t="shared" si="1"/>
        <v>0</v>
      </c>
      <c r="H67" s="14">
        <f>Table13[[#This Row],['# holds 
per set]]*Table13[[#This Row],[Qty]]</f>
        <v>0</v>
      </c>
      <c r="I67" s="18">
        <v>12</v>
      </c>
      <c r="J67" s="18">
        <f>Table13[[#This Row],[Qty]]*Table13[[#This Row],['#bolts per set]]</f>
        <v>0</v>
      </c>
      <c r="K67" s="18">
        <v>2875</v>
      </c>
      <c r="L67" s="19">
        <v>12</v>
      </c>
      <c r="M67" s="18">
        <f>Table13[[#This Row],[Qty]]*Table13[[#This Row],['#screws per set]]</f>
        <v>0</v>
      </c>
      <c r="N67" s="18">
        <f>Table13[[#This Row],[Qty]]*Table13[[#This Row],[Weight / unit]]</f>
        <v>0</v>
      </c>
    </row>
    <row r="68" spans="1:14" s="9" customFormat="1" ht="20" customHeight="1" x14ac:dyDescent="0.35">
      <c r="A68" s="14" t="s">
        <v>40</v>
      </c>
      <c r="B68" s="11">
        <v>8</v>
      </c>
      <c r="C68" s="20">
        <f>Table13[[#This Row],[Price AUD
(incl. GST)]]/Table13[[#This Row],['# holds 
per set]]</f>
        <v>32.25</v>
      </c>
      <c r="D68" s="13">
        <v>258</v>
      </c>
      <c r="E68" s="156"/>
      <c r="F68" s="157"/>
      <c r="G68" s="15">
        <f t="shared" si="1"/>
        <v>0</v>
      </c>
      <c r="H68" s="14">
        <f>Table13[[#This Row],['# holds 
per set]]*Table13[[#This Row],[Qty]]</f>
        <v>0</v>
      </c>
      <c r="I68" s="18">
        <v>8</v>
      </c>
      <c r="J68" s="18">
        <f>Table13[[#This Row],[Qty]]*Table13[[#This Row],['#bolts per set]]</f>
        <v>0</v>
      </c>
      <c r="K68" s="18">
        <v>2580</v>
      </c>
      <c r="L68" s="19">
        <v>22</v>
      </c>
      <c r="M68" s="18">
        <f>Table13[[#This Row],[Qty]]*Table13[[#This Row],['#screws per set]]</f>
        <v>0</v>
      </c>
      <c r="N68" s="18">
        <f>Table13[[#This Row],[Qty]]*Table13[[#This Row],[Weight / unit]]</f>
        <v>0</v>
      </c>
    </row>
    <row r="69" spans="1:14" s="9" customFormat="1" ht="20" customHeight="1" x14ac:dyDescent="0.35">
      <c r="A69" s="14" t="s">
        <v>41</v>
      </c>
      <c r="B69" s="11">
        <v>8</v>
      </c>
      <c r="C69" s="20">
        <f>Table13[[#This Row],[Price AUD
(incl. GST)]]/Table13[[#This Row],['# holds 
per set]]</f>
        <v>20.625</v>
      </c>
      <c r="D69" s="13">
        <v>165</v>
      </c>
      <c r="E69" s="156"/>
      <c r="F69" s="157"/>
      <c r="G69" s="15">
        <f t="shared" si="1"/>
        <v>0</v>
      </c>
      <c r="H69" s="14">
        <f>Table13[[#This Row],['# holds 
per set]]*Table13[[#This Row],[Qty]]</f>
        <v>0</v>
      </c>
      <c r="I69" s="18">
        <v>6</v>
      </c>
      <c r="J69" s="18">
        <f>Table13[[#This Row],[Qty]]*Table13[[#This Row],['#bolts per set]]</f>
        <v>0</v>
      </c>
      <c r="K69" s="18">
        <v>1650</v>
      </c>
      <c r="L69" s="19">
        <v>20</v>
      </c>
      <c r="M69" s="18">
        <f>Table13[[#This Row],[Qty]]*Table13[[#This Row],['#screws per set]]</f>
        <v>0</v>
      </c>
      <c r="N69" s="18">
        <f>Table13[[#This Row],[Qty]]*Table13[[#This Row],[Weight / unit]]</f>
        <v>0</v>
      </c>
    </row>
    <row r="70" spans="1:14" s="9" customFormat="1" ht="20" customHeight="1" x14ac:dyDescent="0.35">
      <c r="A70" s="14" t="s">
        <v>9</v>
      </c>
      <c r="B70" s="11">
        <v>12</v>
      </c>
      <c r="C70" s="20">
        <f>Table13[[#This Row],[Price AUD
(incl. GST)]]/Table13[[#This Row],['# holds 
per set]]</f>
        <v>12.666666666666666</v>
      </c>
      <c r="D70" s="13">
        <v>152</v>
      </c>
      <c r="E70" s="156"/>
      <c r="F70" s="157"/>
      <c r="G70" s="15">
        <f t="shared" si="1"/>
        <v>0</v>
      </c>
      <c r="H70" s="14">
        <f>Table13[[#This Row],['# holds 
per set]]*Table13[[#This Row],[Qty]]</f>
        <v>0</v>
      </c>
      <c r="I70" s="18">
        <v>9</v>
      </c>
      <c r="J70" s="18">
        <f>Table13[[#This Row],[Qty]]*Table13[[#This Row],['#bolts per set]]</f>
        <v>0</v>
      </c>
      <c r="K70" s="18">
        <v>1515</v>
      </c>
      <c r="L70" s="19">
        <v>30</v>
      </c>
      <c r="M70" s="18">
        <f>Table13[[#This Row],[Qty]]*Table13[[#This Row],['#screws per set]]</f>
        <v>0</v>
      </c>
      <c r="N70" s="18">
        <f>Table13[[#This Row],[Qty]]*Table13[[#This Row],[Weight / unit]]</f>
        <v>0</v>
      </c>
    </row>
    <row r="71" spans="1:14" s="9" customFormat="1" ht="20" customHeight="1" x14ac:dyDescent="0.35">
      <c r="A71" s="14" t="s">
        <v>10</v>
      </c>
      <c r="B71" s="11">
        <v>12</v>
      </c>
      <c r="C71" s="20">
        <f>Table13[[#This Row],[Price AUD
(incl. GST)]]/Table13[[#This Row],['# holds 
per set]]</f>
        <v>8</v>
      </c>
      <c r="D71" s="13">
        <v>96</v>
      </c>
      <c r="E71" s="156"/>
      <c r="F71" s="157"/>
      <c r="G71" s="15">
        <f t="shared" si="1"/>
        <v>0</v>
      </c>
      <c r="H71" s="14">
        <f>Table13[[#This Row],['# holds 
per set]]*Table13[[#This Row],[Qty]]</f>
        <v>0</v>
      </c>
      <c r="I71" s="18">
        <v>0</v>
      </c>
      <c r="J71" s="18">
        <f>Table13[[#This Row],[Qty]]*Table13[[#This Row],['#bolts per set]]</f>
        <v>0</v>
      </c>
      <c r="K71" s="18">
        <v>960</v>
      </c>
      <c r="L71" s="19">
        <v>35</v>
      </c>
      <c r="M71" s="18">
        <f>Table13[[#This Row],[Qty]]*Table13[[#This Row],['#screws per set]]</f>
        <v>0</v>
      </c>
      <c r="N71" s="18">
        <f>Table13[[#This Row],[Qty]]*Table13[[#This Row],[Weight / unit]]</f>
        <v>0</v>
      </c>
    </row>
    <row r="72" spans="1:14" s="9" customFormat="1" ht="20" customHeight="1" x14ac:dyDescent="0.35">
      <c r="A72" s="14" t="s">
        <v>11</v>
      </c>
      <c r="B72" s="11">
        <v>8</v>
      </c>
      <c r="C72" s="20">
        <f>Table13[[#This Row],[Price AUD
(incl. GST)]]/Table13[[#This Row],['# holds 
per set]]</f>
        <v>8.5</v>
      </c>
      <c r="D72" s="13">
        <v>68</v>
      </c>
      <c r="E72" s="156"/>
      <c r="F72" s="157"/>
      <c r="G72" s="15">
        <f t="shared" si="1"/>
        <v>0</v>
      </c>
      <c r="H72" s="14">
        <f>Table13[[#This Row],['# holds 
per set]]*Table13[[#This Row],[Qty]]</f>
        <v>0</v>
      </c>
      <c r="I72" s="18">
        <v>8</v>
      </c>
      <c r="J72" s="18">
        <f>Table13[[#This Row],[Qty]]*Table13[[#This Row],['#bolts per set]]</f>
        <v>0</v>
      </c>
      <c r="K72" s="18">
        <v>680</v>
      </c>
      <c r="L72" s="19">
        <v>7</v>
      </c>
      <c r="M72" s="18">
        <f>Table13[[#This Row],[Qty]]*Table13[[#This Row],['#screws per set]]</f>
        <v>0</v>
      </c>
      <c r="N72" s="18">
        <f>Table13[[#This Row],[Qty]]*Table13[[#This Row],[Weight / unit]]</f>
        <v>0</v>
      </c>
    </row>
    <row r="73" spans="1:14" s="9" customFormat="1" ht="20" customHeight="1" x14ac:dyDescent="0.35">
      <c r="A73" s="14" t="s">
        <v>12</v>
      </c>
      <c r="B73" s="11">
        <v>10</v>
      </c>
      <c r="C73" s="20">
        <f>Table13[[#This Row],[Price AUD
(incl. GST)]]/Table13[[#This Row],['# holds 
per set]]</f>
        <v>5</v>
      </c>
      <c r="D73" s="13">
        <v>50</v>
      </c>
      <c r="E73" s="156"/>
      <c r="F73" s="157"/>
      <c r="G73" s="15">
        <f>E73*D73</f>
        <v>0</v>
      </c>
      <c r="H73" s="14">
        <f>Table13[[#This Row],['# holds 
per set]]*Table13[[#This Row],[Qty]]</f>
        <v>0</v>
      </c>
      <c r="I73" s="18">
        <v>9</v>
      </c>
      <c r="J73" s="18">
        <f>Table13[[#This Row],[Qty]]*Table13[[#This Row],['#bolts per set]]</f>
        <v>0</v>
      </c>
      <c r="K73" s="18">
        <v>500</v>
      </c>
      <c r="L73" s="19">
        <v>9</v>
      </c>
      <c r="M73" s="18">
        <f>Table13[[#This Row],[Qty]]*Table13[[#This Row],['#screws per set]]</f>
        <v>0</v>
      </c>
      <c r="N73" s="18">
        <f>Table13[[#This Row],[Qty]]*Table13[[#This Row],[Weight / unit]]</f>
        <v>0</v>
      </c>
    </row>
    <row r="74" spans="1:14" s="9" customFormat="1" ht="20" customHeight="1" x14ac:dyDescent="0.35">
      <c r="A74" s="14" t="s">
        <v>13</v>
      </c>
      <c r="B74" s="11">
        <v>12</v>
      </c>
      <c r="C74" s="20">
        <f>Table13[[#This Row],[Price AUD
(incl. GST)]]/Table13[[#This Row],['# holds 
per set]]</f>
        <v>4</v>
      </c>
      <c r="D74" s="13">
        <v>48</v>
      </c>
      <c r="E74" s="156"/>
      <c r="F74" s="157"/>
      <c r="G74" s="15">
        <f>E74*D74</f>
        <v>0</v>
      </c>
      <c r="H74" s="14">
        <f>Table13[[#This Row],['# holds 
per set]]*Table13[[#This Row],[Qty]]</f>
        <v>0</v>
      </c>
      <c r="I74" s="18">
        <v>3</v>
      </c>
      <c r="J74" s="18">
        <f>Table13[[#This Row],[Qty]]*Table13[[#This Row],['#bolts per set]]</f>
        <v>0</v>
      </c>
      <c r="K74" s="18">
        <v>280</v>
      </c>
      <c r="L74" s="19">
        <v>21</v>
      </c>
      <c r="M74" s="18">
        <f>Table13[[#This Row],[Qty]]*Table13[[#This Row],['#screws per set]]</f>
        <v>0</v>
      </c>
      <c r="N74" s="18">
        <f>Table13[[#This Row],[Qty]]*Table13[[#This Row],[Weight / unit]]</f>
        <v>0</v>
      </c>
    </row>
    <row r="75" spans="1:14" s="9" customFormat="1" ht="20" customHeight="1" x14ac:dyDescent="0.35">
      <c r="A75" s="14" t="s">
        <v>14</v>
      </c>
      <c r="B75" s="11">
        <v>8</v>
      </c>
      <c r="C75" s="20">
        <f>Table13[[#This Row],[Price AUD
(incl. GST)]]/Table13[[#This Row],['# holds 
per set]]</f>
        <v>4</v>
      </c>
      <c r="D75" s="13">
        <v>32</v>
      </c>
      <c r="E75" s="156"/>
      <c r="F75" s="157"/>
      <c r="G75" s="15">
        <f>E75*D75</f>
        <v>0</v>
      </c>
      <c r="H75" s="14">
        <f>Table13[[#This Row],['# holds 
per set]]*Table13[[#This Row],[Qty]]</f>
        <v>0</v>
      </c>
      <c r="I75" s="18">
        <v>0</v>
      </c>
      <c r="J75" s="18">
        <f>Table13[[#This Row],[Qty]]*Table13[[#This Row],['#bolts per set]]</f>
        <v>0</v>
      </c>
      <c r="K75" s="18">
        <v>85</v>
      </c>
      <c r="L75" s="19">
        <v>16</v>
      </c>
      <c r="M75" s="18">
        <f>Table13[[#This Row],[Qty]]*Table13[[#This Row],['#screws per set]]</f>
        <v>0</v>
      </c>
      <c r="N75" s="18">
        <f>Table13[[#This Row],[Qty]]*Table13[[#This Row],[Weight / unit]]</f>
        <v>0</v>
      </c>
    </row>
    <row r="76" spans="1:14" s="9" customFormat="1" ht="20" customHeight="1" x14ac:dyDescent="0.35">
      <c r="A76" s="14" t="s">
        <v>15</v>
      </c>
      <c r="B76" s="11">
        <v>12</v>
      </c>
      <c r="C76" s="20">
        <f>Table13[[#This Row],[Price AUD
(incl. GST)]]/Table13[[#This Row],['# holds 
per set]]</f>
        <v>4</v>
      </c>
      <c r="D76" s="13">
        <v>48</v>
      </c>
      <c r="E76" s="156"/>
      <c r="F76" s="157"/>
      <c r="G76" s="15">
        <f t="shared" ref="G76:G79" si="12">E76*D76</f>
        <v>0</v>
      </c>
      <c r="H76" s="14">
        <f>Table13[[#This Row],['# holds 
per set]]*Table13[[#This Row],[Qty]]</f>
        <v>0</v>
      </c>
      <c r="I76" s="18">
        <v>2</v>
      </c>
      <c r="J76" s="18">
        <f>Table13[[#This Row],[Qty]]*Table13[[#This Row],['#bolts per set]]</f>
        <v>0</v>
      </c>
      <c r="K76" s="18">
        <v>215</v>
      </c>
      <c r="L76" s="19">
        <v>23</v>
      </c>
      <c r="M76" s="18">
        <f>Table13[[#This Row],[Qty]]*Table13[[#This Row],['#screws per set]]</f>
        <v>0</v>
      </c>
      <c r="N76" s="18">
        <f>Table13[[#This Row],[Qty]]*Table13[[#This Row],[Weight / unit]]</f>
        <v>0</v>
      </c>
    </row>
    <row r="77" spans="1:14" s="9" customFormat="1" ht="20" customHeight="1" x14ac:dyDescent="0.35">
      <c r="A77" s="14" t="s">
        <v>16</v>
      </c>
      <c r="B77" s="11">
        <v>12</v>
      </c>
      <c r="C77" s="20">
        <f>Table13[[#This Row],[Price AUD
(incl. GST)]]/Table13[[#This Row],['# holds 
per set]]</f>
        <v>4</v>
      </c>
      <c r="D77" s="13">
        <v>48</v>
      </c>
      <c r="E77" s="156"/>
      <c r="F77" s="157"/>
      <c r="G77" s="15">
        <f t="shared" si="12"/>
        <v>0</v>
      </c>
      <c r="H77" s="14">
        <f>Table13[[#This Row],['# holds 
per set]]*Table13[[#This Row],[Qty]]</f>
        <v>0</v>
      </c>
      <c r="I77" s="18">
        <v>0</v>
      </c>
      <c r="J77" s="18">
        <f>Table13[[#This Row],[Qty]]*Table13[[#This Row],['#bolts per set]]</f>
        <v>0</v>
      </c>
      <c r="K77" s="18">
        <v>140</v>
      </c>
      <c r="L77" s="19">
        <v>25</v>
      </c>
      <c r="M77" s="18">
        <f>Table13[[#This Row],[Qty]]*Table13[[#This Row],['#screws per set]]</f>
        <v>0</v>
      </c>
      <c r="N77" s="18">
        <f>Table13[[#This Row],[Qty]]*Table13[[#This Row],[Weight / unit]]</f>
        <v>0</v>
      </c>
    </row>
    <row r="78" spans="1:14" s="9" customFormat="1" ht="20" customHeight="1" x14ac:dyDescent="0.35">
      <c r="A78" s="14" t="s">
        <v>17</v>
      </c>
      <c r="B78" s="11">
        <v>12</v>
      </c>
      <c r="C78" s="20">
        <f>Table13[[#This Row],[Price AUD
(incl. GST)]]/Table13[[#This Row],['# holds 
per set]]</f>
        <v>4</v>
      </c>
      <c r="D78" s="13">
        <v>48</v>
      </c>
      <c r="E78" s="156"/>
      <c r="F78" s="157"/>
      <c r="G78" s="15">
        <f t="shared" si="12"/>
        <v>0</v>
      </c>
      <c r="H78" s="14">
        <f>Table13[[#This Row],['# holds 
per set]]*Table13[[#This Row],[Qty]]</f>
        <v>0</v>
      </c>
      <c r="I78" s="18">
        <v>1</v>
      </c>
      <c r="J78" s="18">
        <f>Table13[[#This Row],[Qty]]*Table13[[#This Row],['#bolts per set]]</f>
        <v>0</v>
      </c>
      <c r="K78" s="18">
        <v>415</v>
      </c>
      <c r="L78" s="19">
        <v>31</v>
      </c>
      <c r="M78" s="18">
        <f>Table13[[#This Row],[Qty]]*Table13[[#This Row],['#screws per set]]</f>
        <v>0</v>
      </c>
      <c r="N78" s="18">
        <f>Table13[[#This Row],[Qty]]*Table13[[#This Row],[Weight / unit]]</f>
        <v>0</v>
      </c>
    </row>
    <row r="79" spans="1:14" s="9" customFormat="1" ht="20" customHeight="1" x14ac:dyDescent="0.35">
      <c r="A79" s="14" t="s">
        <v>302</v>
      </c>
      <c r="B79" s="11">
        <v>15</v>
      </c>
      <c r="C79" s="20">
        <f>Table13[[#This Row],[Price AUD
(incl. GST)]]/Table13[[#This Row],['# holds 
per set]]</f>
        <v>11.333333333333334</v>
      </c>
      <c r="D79" s="13">
        <v>170</v>
      </c>
      <c r="E79" s="156"/>
      <c r="F79" s="157"/>
      <c r="G79" s="15">
        <f t="shared" si="12"/>
        <v>0</v>
      </c>
      <c r="H79" s="14">
        <f>Table13[[#This Row],['# holds 
per set]]*Table13[[#This Row],[Qty]]</f>
        <v>0</v>
      </c>
      <c r="I79" s="18">
        <v>11</v>
      </c>
      <c r="J79" s="18">
        <f>Table13[[#This Row],[Qty]]*Table13[[#This Row],['#bolts per set]]</f>
        <v>0</v>
      </c>
      <c r="K79" s="18">
        <v>1700</v>
      </c>
      <c r="L79" s="19">
        <v>20</v>
      </c>
      <c r="M79" s="18">
        <f>Table13[[#This Row],[Qty]]*Table13[[#This Row],['#screws per set]]</f>
        <v>0</v>
      </c>
      <c r="N79" s="18">
        <f>Table13[[#This Row],[Qty]]*Table13[[#This Row],[Weight / unit]]</f>
        <v>0</v>
      </c>
    </row>
    <row r="80" spans="1:14" s="9" customFormat="1" ht="20" customHeight="1" x14ac:dyDescent="0.35">
      <c r="A80" s="14" t="s">
        <v>322</v>
      </c>
      <c r="B80" s="11">
        <v>8</v>
      </c>
      <c r="C80" s="20">
        <f>Table13[[#This Row],[Price AUD
(incl. GST)]]/Table13[[#This Row],['# holds 
per set]]</f>
        <v>17.875</v>
      </c>
      <c r="D80" s="13">
        <v>143</v>
      </c>
      <c r="E80" s="156"/>
      <c r="F80" s="157"/>
      <c r="G80" s="15">
        <f t="shared" ref="G80" si="13">E80*D80</f>
        <v>0</v>
      </c>
      <c r="H80" s="14">
        <f>Table13[[#This Row],['# holds 
per set]]*Table13[[#This Row],[Qty]]</f>
        <v>0</v>
      </c>
      <c r="I80" s="18">
        <v>0</v>
      </c>
      <c r="J80" s="18">
        <f>Table13[[#This Row],[Qty]]*Table13[[#This Row],['#bolts per set]]</f>
        <v>0</v>
      </c>
      <c r="K80" s="18">
        <v>1425</v>
      </c>
      <c r="L80" s="19">
        <v>32</v>
      </c>
      <c r="M80" s="18">
        <f>Table13[[#This Row],[Qty]]*Table13[[#This Row],['#screws per set]]</f>
        <v>0</v>
      </c>
      <c r="N80" s="18">
        <f>Table13[[#This Row],[Qty]]*Table13[[#This Row],[Weight / unit]]</f>
        <v>0</v>
      </c>
    </row>
    <row r="81" spans="1:14" s="9" customFormat="1" ht="6" customHeight="1" x14ac:dyDescent="0.35">
      <c r="A81" s="23"/>
      <c r="B81" s="23"/>
      <c r="C81" s="24"/>
      <c r="D81" s="25"/>
      <c r="E81" s="23"/>
      <c r="F81" s="34"/>
      <c r="G81" s="26"/>
      <c r="H81" s="27"/>
      <c r="I81" s="28"/>
      <c r="J81" s="28"/>
      <c r="K81" s="29"/>
      <c r="L81" s="30"/>
      <c r="M81" s="29"/>
      <c r="N81" s="28"/>
    </row>
    <row r="82" spans="1:14" s="9" customFormat="1" ht="20" customHeight="1" x14ac:dyDescent="0.35">
      <c r="A82" s="14" t="s">
        <v>135</v>
      </c>
      <c r="B82" s="11">
        <v>20</v>
      </c>
      <c r="C82" s="20">
        <f>Table13[[#This Row],[Price AUD
(incl. GST)]]/Table13[[#This Row],['# holds 
per set]]</f>
        <v>20.5</v>
      </c>
      <c r="D82" s="13">
        <f>IF(Table13[[#This Row],[Options]]="",410,
IF(OR(Table13[[#This Row],[Options]]="EASY | 30°", Table13[[#This Row],[Options]]="MODERATE | 35°", Table13[[#This Row],[Options]]="ADVANCED | 40°"),435,
IF(OR(Table13[[#This Row],[Options]]="EASY | 35°", Table13[[#This Row],[Options]]="MODERATE | 40°", Table13[[#This Row],[Options]]="ADVANCED | 45°"),460,
IF(OR(Table13[[#This Row],[Options]]="EASY | 40°", Table13[[#This Row],[Options]]="MODERATE | 45°"),490,
IF(Table13[[#This Row],[Options]]="EASY | 45°",515,
410)))))</f>
        <v>410</v>
      </c>
      <c r="E82" s="156"/>
      <c r="F82" s="157"/>
      <c r="G82" s="15">
        <f t="shared" ref="G82:G86" si="14">E82*D82</f>
        <v>0</v>
      </c>
      <c r="H82" s="14">
        <f>Table13[[#This Row],['# holds 
per set]]*Table13[[#This Row],[Qty]]</f>
        <v>0</v>
      </c>
      <c r="I82" s="18">
        <v>0</v>
      </c>
      <c r="J82" s="18">
        <f>Table13[[#This Row],[Qty]]*Table13[[#This Row],['#bolts per set]]</f>
        <v>0</v>
      </c>
      <c r="K82" s="18">
        <v>4100</v>
      </c>
      <c r="L82" s="36">
        <v>0</v>
      </c>
      <c r="M82" s="18">
        <f>Table13[[#This Row],[Qty]]*Table13[[#This Row],['#screws per set]]</f>
        <v>0</v>
      </c>
      <c r="N82" s="18">
        <f>Table13[[#This Row],[Qty]]*Table13[[#This Row],[Weight / unit]]</f>
        <v>0</v>
      </c>
    </row>
    <row r="83" spans="1:14" s="9" customFormat="1" ht="20" customHeight="1" x14ac:dyDescent="0.35">
      <c r="A83" s="14" t="s">
        <v>136</v>
      </c>
      <c r="B83" s="11">
        <v>40</v>
      </c>
      <c r="C83" s="20">
        <f>Table13[[#This Row],[Price AUD
(incl. GST)]]/Table13[[#This Row],['# holds 
per set]]</f>
        <v>20.375</v>
      </c>
      <c r="D83" s="13">
        <f>IF(Table13[[#This Row],[Options]]="",815,
IF(OR(Table13[[#This Row],[Options]]="EASY | 30°", Table13[[#This Row],[Options]]="MODERATE | 35°", Table13[[#This Row],[Options]]="ADVANCED | 40°"),870,
IF(OR(Table13[[#This Row],[Options]]="EASY | 35°", Table13[[#This Row],[Options]]="MODERATE | 40°", Table13[[#This Row],[Options]]="ADVANCED | 45°"),920,
IF(OR(Table13[[#This Row],[Options]]="EASY | 40°", Table13[[#This Row],[Options]]="MODERATE | 45°"),974,
IF(Table13[[#This Row],[Options]]="EASY | 45°",1030,
815)))))</f>
        <v>815</v>
      </c>
      <c r="E83" s="156"/>
      <c r="F83" s="157"/>
      <c r="G83" s="15">
        <f t="shared" si="14"/>
        <v>0</v>
      </c>
      <c r="H83" s="14">
        <f>Table13[[#This Row],['# holds 
per set]]*Table13[[#This Row],[Qty]]</f>
        <v>0</v>
      </c>
      <c r="I83" s="18">
        <v>0</v>
      </c>
      <c r="J83" s="18">
        <f>Table13[[#This Row],[Qty]]*Table13[[#This Row],['#bolts per set]]</f>
        <v>0</v>
      </c>
      <c r="K83" s="18">
        <v>8150</v>
      </c>
      <c r="L83" s="36">
        <v>0</v>
      </c>
      <c r="M83" s="18">
        <f>Table13[[#This Row],[Qty]]*Table13[[#This Row],['#screws per set]]</f>
        <v>0</v>
      </c>
      <c r="N83" s="18">
        <f>Table13[[#This Row],[Qty]]*Table13[[#This Row],[Weight / unit]]</f>
        <v>0</v>
      </c>
    </row>
    <row r="84" spans="1:14" s="9" customFormat="1" ht="20" customHeight="1" x14ac:dyDescent="0.35">
      <c r="A84" s="14" t="s">
        <v>137</v>
      </c>
      <c r="B84" s="11">
        <v>60</v>
      </c>
      <c r="C84" s="20">
        <f>Table13[[#This Row],[Price AUD
(incl. GST)]]/Table13[[#This Row],['# holds 
per set]]</f>
        <v>22.583333333333332</v>
      </c>
      <c r="D84" s="13">
        <f>IF(Table13[[#This Row],[Options]]="",1355,
IF(OR(Table13[[#This Row],[Options]]="EASY | 30°", Table13[[#This Row],[Options]]="MODERATE | 35°", Table13[[#This Row],[Options]]="ADVANCED | 40°"),1410,
IF(OR(Table13[[#This Row],[Options]]="EASY | 35°", Table13[[#This Row],[Options]]="MODERATE | 40°", Table13[[#This Row],[Options]]="ADVANCED | 45°"),1460,
IF(OR(Table13[[#This Row],[Options]]="EASY | 40°", Table13[[#This Row],[Options]]="MODERATE | 45°"),1520,
IF(Table13[[#This Row],[Options]]="EASY | 45°",1575,
1355)))))</f>
        <v>1355</v>
      </c>
      <c r="E84" s="156"/>
      <c r="F84" s="157"/>
      <c r="G84" s="15">
        <f t="shared" si="14"/>
        <v>0</v>
      </c>
      <c r="H84" s="14">
        <f>Table13[[#This Row],['# holds 
per set]]*Table13[[#This Row],[Qty]]</f>
        <v>0</v>
      </c>
      <c r="I84" s="18">
        <v>0</v>
      </c>
      <c r="J84" s="18">
        <f>Table13[[#This Row],[Qty]]*Table13[[#This Row],['#bolts per set]]</f>
        <v>0</v>
      </c>
      <c r="K84" s="18">
        <v>13700</v>
      </c>
      <c r="L84" s="36">
        <v>0</v>
      </c>
      <c r="M84" s="18">
        <f>Table13[[#This Row],[Qty]]*Table13[[#This Row],['#screws per set]]</f>
        <v>0</v>
      </c>
      <c r="N84" s="18">
        <f>Table13[[#This Row],[Qty]]*Table13[[#This Row],[Weight / unit]]</f>
        <v>0</v>
      </c>
    </row>
    <row r="85" spans="1:14" s="9" customFormat="1" ht="20" customHeight="1" x14ac:dyDescent="0.35">
      <c r="A85" s="14" t="s">
        <v>195</v>
      </c>
      <c r="B85" s="11">
        <v>100</v>
      </c>
      <c r="C85" s="20">
        <f>Table13[[#This Row],[Price AUD
(incl. GST)]]/Table13[[#This Row],['# holds 
per set]]</f>
        <v>22</v>
      </c>
      <c r="D85" s="13">
        <f>IF(Table13[[#This Row],[Options]]="",2200,
IF(OR(Table13[[#This Row],[Options]]="EASY | 30°", Table13[[#This Row],[Options]]="MODERATE | 35°", Table13[[#This Row],[Options]]="ADVANCED | 40°"),2275,
IF(OR(Table13[[#This Row],[Options]]="EASY | 35°", Table13[[#This Row],[Options]]="MODERATE | 40°", Table13[[#This Row],[Options]]="ADVANCED | 45°"),2380,
IF(OR(Table13[[#This Row],[Options]]="EASY | 40°", Table13[[#This Row],[Options]]="MODERATE | 45°"),2495,
IF(Table13[[#This Row],[Options]]="EASY | 45°",2600,
2200)))))</f>
        <v>2200</v>
      </c>
      <c r="E85" s="156"/>
      <c r="F85" s="157"/>
      <c r="G85" s="15">
        <f t="shared" ref="G85" si="15">E85*D85</f>
        <v>0</v>
      </c>
      <c r="H85" s="14">
        <f>Table13[[#This Row],['# holds 
per set]]*Table13[[#This Row],[Qty]]</f>
        <v>0</v>
      </c>
      <c r="I85" s="18">
        <v>0</v>
      </c>
      <c r="J85" s="18">
        <f>Table13[[#This Row],[Qty]]*Table13[[#This Row],['#bolts per set]]</f>
        <v>0</v>
      </c>
      <c r="K85" s="18">
        <v>21850</v>
      </c>
      <c r="L85" s="36">
        <v>0</v>
      </c>
      <c r="M85" s="18">
        <f>Table13[[#This Row],[Qty]]*Table13[[#This Row],['#screws per set]]</f>
        <v>0</v>
      </c>
      <c r="N85" s="18">
        <f>Table13[[#This Row],[Qty]]*Table13[[#This Row],[Weight / unit]]</f>
        <v>0</v>
      </c>
    </row>
    <row r="86" spans="1:14" s="9" customFormat="1" ht="20" customHeight="1" x14ac:dyDescent="0.35">
      <c r="A86" s="14" t="s">
        <v>39</v>
      </c>
      <c r="B86" s="11">
        <v>5</v>
      </c>
      <c r="C86" s="20">
        <f>Table13[[#This Row],[Price AUD
(incl. GST)]]/Table13[[#This Row],['# holds 
per set]]</f>
        <v>55</v>
      </c>
      <c r="D86" s="13">
        <v>275</v>
      </c>
      <c r="E86" s="156"/>
      <c r="F86" s="157"/>
      <c r="G86" s="15">
        <f t="shared" si="14"/>
        <v>0</v>
      </c>
      <c r="H86" s="14">
        <f>Table13[[#This Row],['# holds 
per set]]*Table13[[#This Row],[Qty]]</f>
        <v>0</v>
      </c>
      <c r="I86" s="18">
        <v>5</v>
      </c>
      <c r="J86" s="18">
        <f>Table13[[#This Row],[Qty]]*Table13[[#This Row],['#bolts per set]]</f>
        <v>0</v>
      </c>
      <c r="K86" s="18">
        <v>2750</v>
      </c>
      <c r="L86" s="36">
        <v>5</v>
      </c>
      <c r="M86" s="18">
        <f>Table13[[#This Row],[Qty]]*Table13[[#This Row],['#screws per set]]</f>
        <v>0</v>
      </c>
      <c r="N86" s="18">
        <f>Table13[[#This Row],[Qty]]*Table13[[#This Row],[Weight / unit]]</f>
        <v>0</v>
      </c>
    </row>
    <row r="87" spans="1:14" s="9" customFormat="1" ht="6" customHeight="1" x14ac:dyDescent="0.35">
      <c r="A87" s="23"/>
      <c r="B87" s="23"/>
      <c r="C87" s="24"/>
      <c r="D87" s="25"/>
      <c r="E87" s="23"/>
      <c r="F87" s="34"/>
      <c r="G87" s="26"/>
      <c r="H87" s="27"/>
      <c r="I87" s="28"/>
      <c r="J87" s="28"/>
      <c r="K87" s="29"/>
      <c r="L87" s="30"/>
      <c r="M87" s="29"/>
      <c r="N87" s="28"/>
    </row>
    <row r="88" spans="1:14" s="9" customFormat="1" ht="20" customHeight="1" x14ac:dyDescent="0.35">
      <c r="A88" s="14" t="s">
        <v>18</v>
      </c>
      <c r="B88" s="11">
        <v>4</v>
      </c>
      <c r="C88" s="20">
        <f>Table13[[#This Row],[Price AUD
(incl. GST)]]/Table13[[#This Row],['# holds 
per set]]</f>
        <v>42</v>
      </c>
      <c r="D88" s="13">
        <v>168</v>
      </c>
      <c r="E88" s="156"/>
      <c r="F88" s="157"/>
      <c r="G88" s="15">
        <f t="shared" ref="G88" si="16">E88*D88</f>
        <v>0</v>
      </c>
      <c r="H88" s="14">
        <f>Table13[[#This Row],['# holds 
per set]]*Table13[[#This Row],[Qty]]</f>
        <v>0</v>
      </c>
      <c r="I88" s="18">
        <v>4</v>
      </c>
      <c r="J88" s="18">
        <f>Table13[[#This Row],[Qty]]*Table13[[#This Row],['#bolts per set]]</f>
        <v>0</v>
      </c>
      <c r="K88" s="17">
        <v>1675</v>
      </c>
      <c r="L88" s="37">
        <v>12</v>
      </c>
      <c r="M88" s="17">
        <f>Table13[[#This Row],[Qty]]*Table13[[#This Row],['#screws per set]]</f>
        <v>0</v>
      </c>
      <c r="N88" s="17">
        <f>Table13[[#This Row],[Qty]]*Table13[[#This Row],[Weight / unit]]</f>
        <v>0</v>
      </c>
    </row>
    <row r="89" spans="1:14" s="9" customFormat="1" ht="6" customHeight="1" x14ac:dyDescent="0.35">
      <c r="A89" s="23"/>
      <c r="B89" s="23"/>
      <c r="C89" s="24"/>
      <c r="D89" s="25"/>
      <c r="E89" s="23"/>
      <c r="F89" s="34"/>
      <c r="G89" s="26"/>
      <c r="H89" s="27"/>
      <c r="I89" s="28"/>
      <c r="J89" s="28"/>
      <c r="K89" s="29"/>
      <c r="L89" s="30"/>
      <c r="M89" s="29"/>
      <c r="N89" s="28"/>
    </row>
    <row r="90" spans="1:14" s="9" customFormat="1" ht="20" customHeight="1" x14ac:dyDescent="0.35">
      <c r="A90" s="10" t="s">
        <v>114</v>
      </c>
      <c r="B90" s="11">
        <v>1</v>
      </c>
      <c r="C90" s="22">
        <f>Table13[[#This Row],[Price AUD
(incl. GST)]]/Table13[[#This Row],['# holds 
per set]]</f>
        <v>25</v>
      </c>
      <c r="D90" s="13">
        <v>25</v>
      </c>
      <c r="E90" s="156"/>
      <c r="F90" s="157"/>
      <c r="G90" s="15">
        <f>E90*D90</f>
        <v>0</v>
      </c>
      <c r="H90" s="16">
        <f>Table13[[#This Row],['# holds 
per set]]*Table13[[#This Row],[Qty]]</f>
        <v>0</v>
      </c>
      <c r="I90" s="17">
        <v>2</v>
      </c>
      <c r="J90" s="17">
        <f>Table13[[#This Row],[Qty]]*Table13[[#This Row],['#bolts per set]]</f>
        <v>0</v>
      </c>
      <c r="K90" s="17">
        <v>245</v>
      </c>
      <c r="L90" s="37">
        <v>0</v>
      </c>
      <c r="M90" s="17">
        <f>Table13[[#This Row],[Qty]]*Table13[[#This Row],['#screws per set]]</f>
        <v>0</v>
      </c>
      <c r="N90" s="17">
        <f>Table13[[#This Row],[Qty]]*Table13[[#This Row],[Weight / unit]]</f>
        <v>0</v>
      </c>
    </row>
    <row r="91" spans="1:14" s="9" customFormat="1" ht="20" customHeight="1" x14ac:dyDescent="0.35">
      <c r="A91" s="10" t="s">
        <v>177</v>
      </c>
      <c r="B91" s="11">
        <v>1</v>
      </c>
      <c r="C91" s="22">
        <f>Table13[[#This Row],[Price AUD
(incl. GST)]]/Table13[[#This Row],['# holds 
per set]]</f>
        <v>23</v>
      </c>
      <c r="D91" s="13">
        <v>23</v>
      </c>
      <c r="E91" s="156"/>
      <c r="F91" s="157"/>
      <c r="G91" s="15">
        <f>E91*D91</f>
        <v>0</v>
      </c>
      <c r="H91" s="16">
        <f>Table13[[#This Row],['# holds 
per set]]*Table13[[#This Row],[Qty]]</f>
        <v>0</v>
      </c>
      <c r="I91" s="17">
        <v>2</v>
      </c>
      <c r="J91" s="17">
        <f>Table13[[#This Row],[Qty]]*Table13[[#This Row],['#bolts per set]]</f>
        <v>0</v>
      </c>
      <c r="K91" s="17">
        <v>230</v>
      </c>
      <c r="L91" s="37">
        <v>0</v>
      </c>
      <c r="M91" s="17">
        <f>Table13[[#This Row],[Qty]]*Table13[[#This Row],['#screws per set]]</f>
        <v>0</v>
      </c>
      <c r="N91" s="17">
        <f>Table13[[#This Row],[Qty]]*Table13[[#This Row],[Weight / unit]]</f>
        <v>0</v>
      </c>
    </row>
    <row r="92" spans="1:14" s="9" customFormat="1" ht="20" customHeight="1" x14ac:dyDescent="0.35">
      <c r="A92" s="10" t="s">
        <v>115</v>
      </c>
      <c r="B92" s="11">
        <v>1</v>
      </c>
      <c r="C92" s="22">
        <f>Table13[[#This Row],[Price AUD
(incl. GST)]]/Table13[[#This Row],['# holds 
per set]]</f>
        <v>19</v>
      </c>
      <c r="D92" s="13">
        <v>19</v>
      </c>
      <c r="E92" s="156"/>
      <c r="F92" s="157"/>
      <c r="G92" s="15">
        <f>E92*D92</f>
        <v>0</v>
      </c>
      <c r="H92" s="16">
        <f>Table13[[#This Row],['# holds 
per set]]*Table13[[#This Row],[Qty]]</f>
        <v>0</v>
      </c>
      <c r="I92" s="17">
        <v>2</v>
      </c>
      <c r="J92" s="17">
        <f>Table13[[#This Row],[Qty]]*Table13[[#This Row],['#bolts per set]]</f>
        <v>0</v>
      </c>
      <c r="K92" s="17">
        <v>185</v>
      </c>
      <c r="L92" s="37">
        <v>2</v>
      </c>
      <c r="M92" s="17">
        <f>Table13[[#This Row],[Qty]]*Table13[[#This Row],['#screws per set]]</f>
        <v>0</v>
      </c>
      <c r="N92" s="17">
        <f>Table13[[#This Row],[Qty]]*Table13[[#This Row],[Weight / unit]]</f>
        <v>0</v>
      </c>
    </row>
    <row r="93" spans="1:14" s="9" customFormat="1" ht="6" customHeight="1" x14ac:dyDescent="0.35">
      <c r="A93" s="23"/>
      <c r="B93" s="23"/>
      <c r="C93" s="24"/>
      <c r="D93" s="25"/>
      <c r="E93" s="23"/>
      <c r="F93" s="34"/>
      <c r="G93" s="26"/>
      <c r="H93" s="27"/>
      <c r="I93" s="28"/>
      <c r="J93" s="28"/>
      <c r="K93" s="29"/>
      <c r="L93" s="30"/>
      <c r="M93" s="29"/>
      <c r="N93" s="28"/>
    </row>
    <row r="94" spans="1:14" s="9" customFormat="1" ht="20" customHeight="1" x14ac:dyDescent="0.35">
      <c r="A94" s="14" t="s">
        <v>71</v>
      </c>
      <c r="B94" s="11">
        <v>1</v>
      </c>
      <c r="C94" s="20">
        <f>Table13[[#This Row],[Price AUD
(incl. GST)]]/Table13[[#This Row],['# holds 
per set]]</f>
        <v>4</v>
      </c>
      <c r="D94" s="13">
        <v>4</v>
      </c>
      <c r="E94" s="156"/>
      <c r="F94" s="35" t="s">
        <v>31</v>
      </c>
      <c r="G94" s="15">
        <f>E94*D94</f>
        <v>0</v>
      </c>
      <c r="H94" s="14">
        <f>Table13[[#This Row],['# holds 
per set]]*Table13[[#This Row],[Qty]]</f>
        <v>0</v>
      </c>
      <c r="I94" s="18">
        <v>0</v>
      </c>
      <c r="J94" s="18">
        <f>Table13[[#This Row],[Qty]]*Table13[[#This Row],['#bolts per set]]</f>
        <v>0</v>
      </c>
      <c r="K94" s="18">
        <v>10</v>
      </c>
      <c r="L94" s="36">
        <v>0</v>
      </c>
      <c r="M94" s="18">
        <f>Table13[[#This Row],[Qty]]*Table13[[#This Row],['#screws per set]]</f>
        <v>0</v>
      </c>
      <c r="N94" s="18">
        <f>Table13[[#This Row],[Qty]]*Table13[[#This Row],[Weight / unit]]</f>
        <v>0</v>
      </c>
    </row>
    <row r="95" spans="1:14" s="9" customFormat="1" ht="20" customHeight="1" x14ac:dyDescent="0.35">
      <c r="A95" s="14" t="s">
        <v>72</v>
      </c>
      <c r="B95" s="11">
        <v>1</v>
      </c>
      <c r="C95" s="20">
        <f>Table13[[#This Row],[Price AUD
(incl. GST)]]/Table13[[#This Row],['# holds 
per set]]</f>
        <v>4</v>
      </c>
      <c r="D95" s="13">
        <v>4</v>
      </c>
      <c r="E95" s="156"/>
      <c r="F95" s="35" t="s">
        <v>31</v>
      </c>
      <c r="G95" s="15">
        <f>E95*D95</f>
        <v>0</v>
      </c>
      <c r="H95" s="14">
        <f>Table13[[#This Row],['# holds 
per set]]*Table13[[#This Row],[Qty]]</f>
        <v>0</v>
      </c>
      <c r="I95" s="18">
        <v>0</v>
      </c>
      <c r="J95" s="18">
        <f>Table13[[#This Row],[Qty]]*Table13[[#This Row],['#bolts per set]]</f>
        <v>0</v>
      </c>
      <c r="K95" s="18">
        <v>12</v>
      </c>
      <c r="L95" s="36">
        <v>0</v>
      </c>
      <c r="M95" s="18">
        <f>Table13[[#This Row],[Qty]]*Table13[[#This Row],['#screws per set]]</f>
        <v>0</v>
      </c>
      <c r="N95" s="18">
        <f>Table13[[#This Row],[Qty]]*Table13[[#This Row],[Weight / unit]]</f>
        <v>0</v>
      </c>
    </row>
    <row r="96" spans="1:14" s="9" customFormat="1" ht="20" customHeight="1" x14ac:dyDescent="0.35">
      <c r="A96" s="14" t="s">
        <v>73</v>
      </c>
      <c r="B96" s="11">
        <v>1</v>
      </c>
      <c r="C96" s="20">
        <f>Table13[[#This Row],[Price AUD
(incl. GST)]]/Table13[[#This Row],['# holds 
per set]]</f>
        <v>37</v>
      </c>
      <c r="D96" s="13">
        <v>37</v>
      </c>
      <c r="E96" s="156"/>
      <c r="F96" s="157"/>
      <c r="G96" s="15">
        <f t="shared" ref="G96" si="17">E96*D96</f>
        <v>0</v>
      </c>
      <c r="H96" s="14">
        <f>Table13[[#This Row],['# holds 
per set]]*Table13[[#This Row],[Qty]]</f>
        <v>0</v>
      </c>
      <c r="I96" s="18">
        <v>1</v>
      </c>
      <c r="J96" s="18">
        <f>Table13[[#This Row],[Qty]]*Table13[[#This Row],['#bolts per set]]</f>
        <v>0</v>
      </c>
      <c r="K96" s="18">
        <v>370</v>
      </c>
      <c r="L96" s="36">
        <v>1</v>
      </c>
      <c r="M96" s="18">
        <f>Table13[[#This Row],[Qty]]*Table13[[#This Row],['#screws per set]]</f>
        <v>0</v>
      </c>
      <c r="N96" s="18">
        <f>Table13[[#This Row],[Qty]]*Table13[[#This Row],[Weight / unit]]</f>
        <v>0</v>
      </c>
    </row>
    <row r="97" spans="1:14" s="9" customFormat="1" ht="20" customHeight="1" x14ac:dyDescent="0.35">
      <c r="A97" s="14" t="s">
        <v>74</v>
      </c>
      <c r="B97" s="11">
        <v>1</v>
      </c>
      <c r="C97" s="20">
        <f>Table13[[#This Row],[Price AUD
(incl. GST)]]/Table13[[#This Row],['# holds 
per set]]</f>
        <v>24</v>
      </c>
      <c r="D97" s="13">
        <v>24</v>
      </c>
      <c r="E97" s="156"/>
      <c r="F97" s="157"/>
      <c r="G97" s="15">
        <f>E97*D97</f>
        <v>0</v>
      </c>
      <c r="H97" s="16">
        <f>Table13[[#This Row],['# holds 
per set]]*Table13[[#This Row],[Qty]]</f>
        <v>0</v>
      </c>
      <c r="I97" s="17">
        <v>0</v>
      </c>
      <c r="J97" s="17">
        <f>Table13[[#This Row],[Qty]]*Table13[[#This Row],['#bolts per set]]</f>
        <v>0</v>
      </c>
      <c r="K97" s="17">
        <v>235</v>
      </c>
      <c r="L97" s="37">
        <v>2</v>
      </c>
      <c r="M97" s="17">
        <f>Table13[[#This Row],[Qty]]*Table13[[#This Row],['#screws per set]]</f>
        <v>0</v>
      </c>
      <c r="N97" s="17">
        <f>Table13[[#This Row],[Qty]]*Table13[[#This Row],[Weight / unit]]</f>
        <v>0</v>
      </c>
    </row>
    <row r="98" spans="1:14" s="9" customFormat="1" ht="49.5" customHeight="1" x14ac:dyDescent="0.35">
      <c r="A98" s="38" t="s">
        <v>75</v>
      </c>
      <c r="B98" s="38" t="s">
        <v>76</v>
      </c>
      <c r="C98" s="39" t="s">
        <v>77</v>
      </c>
      <c r="D98" s="40" t="s">
        <v>56</v>
      </c>
      <c r="E98" s="38"/>
      <c r="F98" s="41"/>
      <c r="G98" s="42"/>
      <c r="H98" s="42"/>
      <c r="I98" s="42"/>
      <c r="J98" s="42"/>
      <c r="K98" s="42"/>
      <c r="L98" s="43"/>
      <c r="M98" s="42"/>
      <c r="N98" s="42"/>
    </row>
    <row r="99" spans="1:14" s="9" customFormat="1" ht="20" customHeight="1" x14ac:dyDescent="0.35">
      <c r="A99" s="44" t="s">
        <v>147</v>
      </c>
      <c r="B99" s="45"/>
      <c r="C99" s="46"/>
      <c r="D99" s="47"/>
      <c r="E99" s="45"/>
      <c r="F99" s="48"/>
      <c r="G99" s="49" t="str">
        <f>IF(G100=0,"",G100)</f>
        <v/>
      </c>
      <c r="H99" s="49" t="str">
        <f t="shared" ref="H99:N99" si="18">IF(H100=0,"",H100)</f>
        <v/>
      </c>
      <c r="I99" s="49" t="str">
        <f t="shared" si="18"/>
        <v/>
      </c>
      <c r="J99" s="49" t="str">
        <f t="shared" si="18"/>
        <v/>
      </c>
      <c r="K99" s="49"/>
      <c r="L99" s="50"/>
      <c r="M99" s="49"/>
      <c r="N99" s="49" t="str">
        <f t="shared" si="18"/>
        <v/>
      </c>
    </row>
    <row r="100" spans="1:14" s="9" customFormat="1" ht="20" customHeight="1" x14ac:dyDescent="0.35">
      <c r="A100" s="51" t="s">
        <v>141</v>
      </c>
      <c r="B100" s="52"/>
      <c r="C100" s="53"/>
      <c r="D100" s="54">
        <v>25</v>
      </c>
      <c r="E100" s="158"/>
      <c r="F100" s="55" t="s">
        <v>92</v>
      </c>
      <c r="G100" s="56">
        <f t="shared" ref="G100" si="19">E100*D100</f>
        <v>0</v>
      </c>
      <c r="H100" s="57"/>
      <c r="I100" s="17"/>
      <c r="J100" s="17"/>
      <c r="K100" s="17">
        <v>360</v>
      </c>
      <c r="L100" s="37"/>
      <c r="M100" s="17"/>
      <c r="N100" s="17">
        <f>Table13[[#This Row],[Qty]]*Table13[[#This Row],[Weight / unit]]</f>
        <v>0</v>
      </c>
    </row>
    <row r="101" spans="1:14" s="9" customFormat="1" ht="20" customHeight="1" x14ac:dyDescent="0.35">
      <c r="A101" s="44" t="s">
        <v>176</v>
      </c>
      <c r="B101" s="45"/>
      <c r="C101" s="46"/>
      <c r="D101" s="47"/>
      <c r="E101" s="45"/>
      <c r="F101" s="48"/>
      <c r="G101" s="49" t="str">
        <f>IF(SUM(G102:G111)=0,"",SUM(G102:G111))</f>
        <v/>
      </c>
      <c r="H101" s="49"/>
      <c r="I101" s="49"/>
      <c r="J101" s="49"/>
      <c r="K101" s="49"/>
      <c r="L101" s="50"/>
      <c r="M101" s="49"/>
      <c r="N101" s="49"/>
    </row>
    <row r="102" spans="1:14" s="9" customFormat="1" ht="20" customHeight="1" x14ac:dyDescent="0.35">
      <c r="A102" s="51" t="s">
        <v>78</v>
      </c>
      <c r="B102" s="52" t="s">
        <v>182</v>
      </c>
      <c r="C102" s="53">
        <v>0.3</v>
      </c>
      <c r="D102" s="58">
        <v>0.3</v>
      </c>
      <c r="E102" s="158"/>
      <c r="F102" s="59" t="s">
        <v>92</v>
      </c>
      <c r="G102" s="56">
        <f t="shared" ref="G102:G103" si="20">E102*D102</f>
        <v>0</v>
      </c>
      <c r="H102" s="57"/>
      <c r="I102" s="17"/>
      <c r="J102" s="17"/>
      <c r="K102" s="17">
        <f>7.56+3</f>
        <v>10.559999999999999</v>
      </c>
      <c r="L102" s="37"/>
      <c r="M102" s="17"/>
      <c r="N102" s="17">
        <f>Table13[[#This Row],[Qty]]*Table13[[#This Row],[Weight / unit]]</f>
        <v>0</v>
      </c>
    </row>
    <row r="103" spans="1:14" s="9" customFormat="1" ht="20" customHeight="1" x14ac:dyDescent="0.35">
      <c r="A103" s="60" t="s">
        <v>184</v>
      </c>
      <c r="B103" s="61" t="s">
        <v>182</v>
      </c>
      <c r="C103" s="62">
        <v>0.27500000000000002</v>
      </c>
      <c r="D103" s="63">
        <v>550</v>
      </c>
      <c r="E103" s="159"/>
      <c r="F103" s="64" t="s">
        <v>150</v>
      </c>
      <c r="G103" s="56">
        <f t="shared" si="20"/>
        <v>0</v>
      </c>
      <c r="H103" s="57"/>
      <c r="I103" s="17"/>
      <c r="J103" s="17"/>
      <c r="K103" s="17">
        <f>K102*2000</f>
        <v>21119.999999999996</v>
      </c>
      <c r="L103" s="37"/>
      <c r="M103" s="17"/>
      <c r="N103" s="17">
        <f>Table13[[#This Row],[Qty]]*Table13[[#This Row],[Weight / unit]]</f>
        <v>0</v>
      </c>
    </row>
    <row r="104" spans="1:14" s="9" customFormat="1" ht="20" customHeight="1" x14ac:dyDescent="0.35">
      <c r="A104" s="65" t="s">
        <v>79</v>
      </c>
      <c r="B104" s="66" t="s">
        <v>182</v>
      </c>
      <c r="C104" s="67">
        <v>0.3</v>
      </c>
      <c r="D104" s="68">
        <v>0.3</v>
      </c>
      <c r="E104" s="160"/>
      <c r="F104" s="59" t="s">
        <v>92</v>
      </c>
      <c r="G104" s="56">
        <f t="shared" ref="G104" si="21">E104*D104</f>
        <v>0</v>
      </c>
      <c r="H104" s="57"/>
      <c r="I104" s="17"/>
      <c r="J104" s="17"/>
      <c r="K104" s="17">
        <f>7.7+3</f>
        <v>10.7</v>
      </c>
      <c r="L104" s="37"/>
      <c r="M104" s="17"/>
      <c r="N104" s="17">
        <f>Table13[[#This Row],[Qty]]*Table13[[#This Row],[Weight / unit]]</f>
        <v>0</v>
      </c>
    </row>
    <row r="105" spans="1:14" s="9" customFormat="1" ht="20" customHeight="1" x14ac:dyDescent="0.35">
      <c r="A105" s="65" t="s">
        <v>185</v>
      </c>
      <c r="B105" s="66" t="s">
        <v>182</v>
      </c>
      <c r="C105" s="62">
        <v>0.27500000000000002</v>
      </c>
      <c r="D105" s="63">
        <v>550</v>
      </c>
      <c r="E105" s="160"/>
      <c r="F105" s="59" t="s">
        <v>150</v>
      </c>
      <c r="G105" s="56">
        <f>E105*D105</f>
        <v>0</v>
      </c>
      <c r="H105" s="57"/>
      <c r="I105" s="17"/>
      <c r="J105" s="17"/>
      <c r="K105" s="17">
        <f>K104*2000</f>
        <v>21400</v>
      </c>
      <c r="L105" s="37"/>
      <c r="M105" s="17"/>
      <c r="N105" s="17">
        <f>Table13[[#This Row],[Qty]]*Table13[[#This Row],[Weight / unit]]</f>
        <v>0</v>
      </c>
    </row>
    <row r="106" spans="1:14" s="9" customFormat="1" ht="20" customHeight="1" x14ac:dyDescent="0.35">
      <c r="A106" s="51" t="s">
        <v>178</v>
      </c>
      <c r="B106" s="52" t="s">
        <v>183</v>
      </c>
      <c r="C106" s="53">
        <v>1.25</v>
      </c>
      <c r="D106" s="58">
        <v>1.25</v>
      </c>
      <c r="E106" s="158"/>
      <c r="F106" s="59" t="s">
        <v>92</v>
      </c>
      <c r="G106" s="56">
        <f t="shared" ref="G106" si="22">E106*D106</f>
        <v>0</v>
      </c>
      <c r="H106" s="57"/>
      <c r="I106" s="17"/>
      <c r="J106" s="17"/>
      <c r="K106" s="17">
        <f>7.7+3</f>
        <v>10.7</v>
      </c>
      <c r="L106" s="37"/>
      <c r="M106" s="17"/>
      <c r="N106" s="17">
        <f>Table13[[#This Row],[Qty]]*Table13[[#This Row],[Weight / unit]]</f>
        <v>0</v>
      </c>
    </row>
    <row r="107" spans="1:14" s="9" customFormat="1" ht="20" customHeight="1" x14ac:dyDescent="0.35">
      <c r="A107" s="51" t="s">
        <v>179</v>
      </c>
      <c r="B107" s="52" t="s">
        <v>183</v>
      </c>
      <c r="C107" s="53">
        <v>1.25</v>
      </c>
      <c r="D107" s="58">
        <v>1.25</v>
      </c>
      <c r="E107" s="158"/>
      <c r="F107" s="59" t="s">
        <v>92</v>
      </c>
      <c r="G107" s="56">
        <f t="shared" ref="G107" si="23">E107*D107</f>
        <v>0</v>
      </c>
      <c r="H107" s="57"/>
      <c r="I107" s="17"/>
      <c r="J107" s="17"/>
      <c r="K107" s="17">
        <f>7.82+3</f>
        <v>10.82</v>
      </c>
      <c r="L107" s="37"/>
      <c r="M107" s="17"/>
      <c r="N107" s="17">
        <f>Table13[[#This Row],[Qty]]*Table13[[#This Row],[Weight / unit]]</f>
        <v>0</v>
      </c>
    </row>
    <row r="108" spans="1:14" s="9" customFormat="1" ht="20" customHeight="1" x14ac:dyDescent="0.35">
      <c r="A108" s="65" t="s">
        <v>180</v>
      </c>
      <c r="B108" s="69" t="s">
        <v>182</v>
      </c>
      <c r="C108" s="62">
        <v>0.75</v>
      </c>
      <c r="D108" s="68">
        <v>0.75</v>
      </c>
      <c r="E108" s="160"/>
      <c r="F108" s="70" t="s">
        <v>278</v>
      </c>
      <c r="G108" s="56">
        <f>E108*D108</f>
        <v>0</v>
      </c>
      <c r="H108" s="57"/>
      <c r="I108" s="17"/>
      <c r="J108" s="17"/>
      <c r="K108" s="17">
        <f>19.3+2</f>
        <v>21.3</v>
      </c>
      <c r="L108" s="37"/>
      <c r="M108" s="17"/>
      <c r="N108" s="17">
        <f>Table13[[#This Row],[Qty]]*Table13[[#This Row],[Weight / unit]]</f>
        <v>0</v>
      </c>
    </row>
    <row r="109" spans="1:14" s="9" customFormat="1" ht="20" customHeight="1" x14ac:dyDescent="0.35">
      <c r="A109" s="65" t="s">
        <v>186</v>
      </c>
      <c r="B109" s="69" t="s">
        <v>182</v>
      </c>
      <c r="C109" s="62">
        <v>0.7</v>
      </c>
      <c r="D109" s="63">
        <v>700</v>
      </c>
      <c r="E109" s="160"/>
      <c r="F109" s="70" t="s">
        <v>279</v>
      </c>
      <c r="G109" s="56">
        <f>E109*D109</f>
        <v>0</v>
      </c>
      <c r="H109" s="57"/>
      <c r="I109" s="17"/>
      <c r="J109" s="17"/>
      <c r="K109" s="17">
        <f>K108*1000</f>
        <v>21300</v>
      </c>
      <c r="L109" s="37"/>
      <c r="M109" s="17"/>
      <c r="N109" s="17">
        <f>Table13[[#This Row],[Qty]]*Table13[[#This Row],[Weight / unit]]</f>
        <v>0</v>
      </c>
    </row>
    <row r="110" spans="1:14" s="9" customFormat="1" ht="20" customHeight="1" x14ac:dyDescent="0.35">
      <c r="A110" s="65" t="s">
        <v>181</v>
      </c>
      <c r="B110" s="69" t="s">
        <v>182</v>
      </c>
      <c r="C110" s="62">
        <v>0.75</v>
      </c>
      <c r="D110" s="68">
        <v>0.75</v>
      </c>
      <c r="E110" s="160"/>
      <c r="F110" s="70" t="s">
        <v>278</v>
      </c>
      <c r="G110" s="56">
        <f>E110*D110</f>
        <v>0</v>
      </c>
      <c r="H110" s="57"/>
      <c r="I110" s="17"/>
      <c r="J110" s="17"/>
      <c r="K110" s="17">
        <f>16.3+2</f>
        <v>18.3</v>
      </c>
      <c r="L110" s="37"/>
      <c r="M110" s="17"/>
      <c r="N110" s="17">
        <f>Table13[[#This Row],[Qty]]*Table13[[#This Row],[Weight / unit]]</f>
        <v>0</v>
      </c>
    </row>
    <row r="111" spans="1:14" s="9" customFormat="1" ht="20" customHeight="1" x14ac:dyDescent="0.35">
      <c r="A111" s="65" t="s">
        <v>187</v>
      </c>
      <c r="B111" s="69" t="s">
        <v>182</v>
      </c>
      <c r="C111" s="62">
        <v>0.7</v>
      </c>
      <c r="D111" s="63">
        <v>700</v>
      </c>
      <c r="E111" s="160"/>
      <c r="F111" s="70" t="s">
        <v>280</v>
      </c>
      <c r="G111" s="56">
        <f>E111*D111</f>
        <v>0</v>
      </c>
      <c r="H111" s="57"/>
      <c r="I111" s="17"/>
      <c r="J111" s="17"/>
      <c r="K111" s="17">
        <f>K110*1000</f>
        <v>18300</v>
      </c>
      <c r="L111" s="37"/>
      <c r="M111" s="17"/>
      <c r="N111" s="17">
        <f>Table13[[#This Row],[Qty]]*Table13[[#This Row],[Weight / unit]]</f>
        <v>0</v>
      </c>
    </row>
    <row r="112" spans="1:14" s="9" customFormat="1" ht="20" customHeight="1" x14ac:dyDescent="0.35">
      <c r="A112" s="71" t="s">
        <v>188</v>
      </c>
      <c r="B112" s="71"/>
      <c r="C112" s="71"/>
      <c r="D112" s="47"/>
      <c r="E112" s="45"/>
      <c r="F112" s="48"/>
      <c r="G112" s="49" t="str">
        <f>IF(SUM(G113:G116)=0,"",SUM(G113:G116))</f>
        <v/>
      </c>
      <c r="H112" s="49"/>
      <c r="I112" s="49"/>
      <c r="J112" s="49"/>
      <c r="K112" s="49"/>
      <c r="L112" s="50"/>
      <c r="M112" s="49"/>
      <c r="N112" s="49"/>
    </row>
    <row r="113" spans="1:14" s="9" customFormat="1" ht="20" customHeight="1" x14ac:dyDescent="0.35">
      <c r="A113" s="51" t="s">
        <v>189</v>
      </c>
      <c r="B113" s="72"/>
      <c r="C113" s="73">
        <v>17</v>
      </c>
      <c r="D113" s="74">
        <v>25</v>
      </c>
      <c r="E113" s="161"/>
      <c r="F113" s="75" t="s">
        <v>92</v>
      </c>
      <c r="G113" s="76">
        <f>E113*D113</f>
        <v>0</v>
      </c>
      <c r="H113" s="17"/>
      <c r="I113" s="17"/>
      <c r="J113" s="17"/>
      <c r="K113" s="17">
        <v>125</v>
      </c>
      <c r="L113" s="37"/>
      <c r="M113" s="17"/>
      <c r="N113" s="17">
        <f>Table13[[#This Row],[Qty]]*Table13[[#This Row],[Weight / unit]]</f>
        <v>0</v>
      </c>
    </row>
    <row r="114" spans="1:14" s="9" customFormat="1" ht="20" customHeight="1" x14ac:dyDescent="0.35">
      <c r="A114" s="51" t="s">
        <v>190</v>
      </c>
      <c r="B114" s="72"/>
      <c r="C114" s="73">
        <v>19</v>
      </c>
      <c r="D114" s="74">
        <v>25</v>
      </c>
      <c r="E114" s="161"/>
      <c r="F114" s="75" t="s">
        <v>92</v>
      </c>
      <c r="G114" s="76">
        <f>E114*D114</f>
        <v>0</v>
      </c>
      <c r="H114" s="17"/>
      <c r="I114" s="17"/>
      <c r="J114" s="17"/>
      <c r="K114" s="17">
        <v>125</v>
      </c>
      <c r="L114" s="37"/>
      <c r="M114" s="17"/>
      <c r="N114" s="17">
        <f>Table13[[#This Row],[Qty]]*Table13[[#This Row],[Weight / unit]]</f>
        <v>0</v>
      </c>
    </row>
    <row r="115" spans="1:14" s="9" customFormat="1" ht="20" customHeight="1" x14ac:dyDescent="0.35">
      <c r="A115" s="51" t="s">
        <v>191</v>
      </c>
      <c r="B115" s="72"/>
      <c r="C115" s="73">
        <v>27</v>
      </c>
      <c r="D115" s="74">
        <v>30</v>
      </c>
      <c r="E115" s="161"/>
      <c r="F115" s="75" t="s">
        <v>92</v>
      </c>
      <c r="G115" s="76">
        <f>E115*D115</f>
        <v>0</v>
      </c>
      <c r="H115" s="17"/>
      <c r="I115" s="17"/>
      <c r="J115" s="17"/>
      <c r="K115" s="17">
        <v>100</v>
      </c>
      <c r="L115" s="37"/>
      <c r="M115" s="17"/>
      <c r="N115" s="17">
        <f>Table13[[#This Row],[Qty]]*Table13[[#This Row],[Weight / unit]]</f>
        <v>0</v>
      </c>
    </row>
    <row r="116" spans="1:14" s="9" customFormat="1" ht="20" customHeight="1" x14ac:dyDescent="0.35">
      <c r="A116" s="51" t="s">
        <v>192</v>
      </c>
      <c r="B116" s="72"/>
      <c r="C116" s="73">
        <v>29</v>
      </c>
      <c r="D116" s="74">
        <v>35</v>
      </c>
      <c r="E116" s="161"/>
      <c r="F116" s="75" t="s">
        <v>92</v>
      </c>
      <c r="G116" s="76">
        <f>E116*D116</f>
        <v>0</v>
      </c>
      <c r="H116" s="17"/>
      <c r="I116" s="17"/>
      <c r="J116" s="17"/>
      <c r="K116" s="17">
        <v>100</v>
      </c>
      <c r="L116" s="37"/>
      <c r="M116" s="17"/>
      <c r="N116" s="17">
        <f>Table13[[#This Row],[Qty]]*Table13[[#This Row],[Weight / unit]]</f>
        <v>0</v>
      </c>
    </row>
    <row r="117" spans="1:14" s="9" customFormat="1" ht="20" customHeight="1" x14ac:dyDescent="0.35">
      <c r="A117" s="77" t="s">
        <v>235</v>
      </c>
      <c r="B117" s="78"/>
      <c r="C117" s="79"/>
      <c r="D117" s="80"/>
      <c r="E117" s="78"/>
      <c r="F117" s="81"/>
      <c r="G117" s="82" t="str">
        <f>IF(SUM(G118:G133)=0,"",SUM(G118:G133))</f>
        <v/>
      </c>
      <c r="H117" s="82"/>
      <c r="I117" s="82"/>
      <c r="J117" s="82"/>
      <c r="K117" s="82"/>
      <c r="L117" s="83"/>
      <c r="M117" s="82"/>
      <c r="N117" s="82"/>
    </row>
    <row r="118" spans="1:14" s="9" customFormat="1" ht="20" customHeight="1" x14ac:dyDescent="0.35">
      <c r="A118" s="65" t="s">
        <v>96</v>
      </c>
      <c r="B118" s="66"/>
      <c r="C118" s="62"/>
      <c r="D118" s="84">
        <f>Table13[[#This Row],[Total]]</f>
        <v>0</v>
      </c>
      <c r="E118" s="162"/>
      <c r="F118" s="163" t="s">
        <v>94</v>
      </c>
      <c r="G118" s="85">
        <f>IF(Table13[[#This Row],[Qty]]="Yes",Table13[[#This Row],['#bolts ordered]]*0.65,0)</f>
        <v>0</v>
      </c>
      <c r="H118" s="57">
        <f>SUM(H18:H97)</f>
        <v>0</v>
      </c>
      <c r="I118" s="17"/>
      <c r="J118" s="17">
        <f>IF(Table13[[#This Row],[Qty]]="Yes", SUM(J18:J97),0)</f>
        <v>0</v>
      </c>
      <c r="K118" s="17">
        <v>35</v>
      </c>
      <c r="L118" s="37"/>
      <c r="M118" s="17"/>
      <c r="N118" s="17">
        <f>IF(Table13[[#This Row],[Qty]]="Yes",Table13[[#This Row],['#bolts ordered]]*Table13[[#This Row],[Weight / unit]],0)</f>
        <v>0</v>
      </c>
    </row>
    <row r="119" spans="1:14" s="9" customFormat="1" ht="20" customHeight="1" x14ac:dyDescent="0.35">
      <c r="A119" s="65" t="s">
        <v>80</v>
      </c>
      <c r="B119" s="66"/>
      <c r="C119" s="62"/>
      <c r="D119" s="84">
        <v>0.38</v>
      </c>
      <c r="E119" s="162"/>
      <c r="F119" s="55" t="s">
        <v>92</v>
      </c>
      <c r="G119" s="85">
        <f>E119*D119</f>
        <v>0</v>
      </c>
      <c r="H119" s="57"/>
      <c r="I119" s="17"/>
      <c r="J119" s="17" t="str">
        <f>IF(Table13[[#This Row],[Qty]]="","", IF(Table13[[#This Row],[Qty]]&gt;0,Table13[[#This Row],[Qty]]))</f>
        <v/>
      </c>
      <c r="K119" s="17">
        <v>22.1</v>
      </c>
      <c r="L119" s="37"/>
      <c r="M119" s="17"/>
      <c r="N119" s="17">
        <f>Table13[[#This Row],[Qty]]*Table13[[#This Row],[Weight / unit]]</f>
        <v>0</v>
      </c>
    </row>
    <row r="120" spans="1:14" s="9" customFormat="1" ht="20" customHeight="1" x14ac:dyDescent="0.35">
      <c r="A120" s="65" t="s">
        <v>81</v>
      </c>
      <c r="B120" s="66"/>
      <c r="C120" s="62"/>
      <c r="D120" s="84">
        <v>0.43</v>
      </c>
      <c r="E120" s="162"/>
      <c r="F120" s="55" t="s">
        <v>92</v>
      </c>
      <c r="G120" s="85">
        <f t="shared" ref="G120:G127" si="24">E120*D120</f>
        <v>0</v>
      </c>
      <c r="H120" s="57"/>
      <c r="I120" s="17"/>
      <c r="J120" s="17" t="str">
        <f>IF(Table13[[#This Row],[Qty]]="","", IF(Table13[[#This Row],[Qty]]&gt;0,Table13[[#This Row],[Qty]]))</f>
        <v/>
      </c>
      <c r="K120" s="17">
        <v>24.7</v>
      </c>
      <c r="L120" s="37"/>
      <c r="M120" s="17"/>
      <c r="N120" s="17">
        <f>Table13[[#This Row],[Qty]]*Table13[[#This Row],[Weight / unit]]</f>
        <v>0</v>
      </c>
    </row>
    <row r="121" spans="1:14" s="9" customFormat="1" ht="20" customHeight="1" x14ac:dyDescent="0.35">
      <c r="A121" s="86" t="s">
        <v>82</v>
      </c>
      <c r="B121" s="66"/>
      <c r="C121" s="62"/>
      <c r="D121" s="84">
        <v>0.51</v>
      </c>
      <c r="E121" s="162"/>
      <c r="F121" s="55" t="s">
        <v>92</v>
      </c>
      <c r="G121" s="85">
        <f t="shared" si="24"/>
        <v>0</v>
      </c>
      <c r="H121" s="57"/>
      <c r="I121" s="17"/>
      <c r="J121" s="17" t="str">
        <f>IF(Table13[[#This Row],[Qty]]="","", IF(Table13[[#This Row],[Qty]]&gt;0,Table13[[#This Row],[Qty]]))</f>
        <v/>
      </c>
      <c r="K121" s="17">
        <v>28.7</v>
      </c>
      <c r="L121" s="37"/>
      <c r="M121" s="17"/>
      <c r="N121" s="17">
        <f>Table13[[#This Row],[Qty]]*Table13[[#This Row],[Weight / unit]]</f>
        <v>0</v>
      </c>
    </row>
    <row r="122" spans="1:14" s="9" customFormat="1" ht="20" customHeight="1" x14ac:dyDescent="0.35">
      <c r="A122" s="65" t="s">
        <v>84</v>
      </c>
      <c r="B122" s="66"/>
      <c r="C122" s="62"/>
      <c r="D122" s="84">
        <v>0.5</v>
      </c>
      <c r="E122" s="162"/>
      <c r="F122" s="55" t="s">
        <v>92</v>
      </c>
      <c r="G122" s="85">
        <f t="shared" si="24"/>
        <v>0</v>
      </c>
      <c r="H122" s="57"/>
      <c r="I122" s="17"/>
      <c r="J122" s="17" t="str">
        <f>IF(Table13[[#This Row],[Qty]]="","", IF(Table13[[#This Row],[Qty]]&gt;0,Table13[[#This Row],[Qty]]))</f>
        <v/>
      </c>
      <c r="K122" s="17">
        <v>31.4</v>
      </c>
      <c r="L122" s="37"/>
      <c r="M122" s="17"/>
      <c r="N122" s="17">
        <f>Table13[[#This Row],[Qty]]*Table13[[#This Row],[Weight / unit]]</f>
        <v>0</v>
      </c>
    </row>
    <row r="123" spans="1:14" s="9" customFormat="1" ht="20" customHeight="1" x14ac:dyDescent="0.35">
      <c r="A123" s="65" t="s">
        <v>142</v>
      </c>
      <c r="B123" s="66"/>
      <c r="C123" s="62"/>
      <c r="D123" s="84">
        <v>0.54</v>
      </c>
      <c r="E123" s="162"/>
      <c r="F123" s="55" t="s">
        <v>92</v>
      </c>
      <c r="G123" s="85">
        <f t="shared" ref="G123" si="25">E123*D123</f>
        <v>0</v>
      </c>
      <c r="H123" s="57"/>
      <c r="I123" s="17"/>
      <c r="J123" s="17" t="str">
        <f>IF(Table13[[#This Row],[Qty]]="","", IF(Table13[[#This Row],[Qty]]&gt;0,Table13[[#This Row],[Qty]]))</f>
        <v/>
      </c>
      <c r="K123" s="17">
        <v>36</v>
      </c>
      <c r="L123" s="37"/>
      <c r="M123" s="17"/>
      <c r="N123" s="17">
        <f>Table13[[#This Row],[Qty]]*Table13[[#This Row],[Weight / unit]]</f>
        <v>0</v>
      </c>
    </row>
    <row r="124" spans="1:14" s="9" customFormat="1" ht="20" customHeight="1" x14ac:dyDescent="0.35">
      <c r="A124" s="65" t="s">
        <v>83</v>
      </c>
      <c r="B124" s="66"/>
      <c r="C124" s="62"/>
      <c r="D124" s="84">
        <v>0.67</v>
      </c>
      <c r="E124" s="162"/>
      <c r="F124" s="55" t="s">
        <v>92</v>
      </c>
      <c r="G124" s="85">
        <f t="shared" si="24"/>
        <v>0</v>
      </c>
      <c r="H124" s="57"/>
      <c r="I124" s="17"/>
      <c r="J124" s="17" t="str">
        <f>IF(Table13[[#This Row],[Qty]]="","", IF(Table13[[#This Row],[Qty]]&gt;0,Table13[[#This Row],[Qty]]))</f>
        <v/>
      </c>
      <c r="K124" s="17">
        <v>38.200000000000003</v>
      </c>
      <c r="L124" s="37"/>
      <c r="M124" s="17"/>
      <c r="N124" s="17">
        <f>Table13[[#This Row],[Qty]]*Table13[[#This Row],[Weight / unit]]</f>
        <v>0</v>
      </c>
    </row>
    <row r="125" spans="1:14" s="9" customFormat="1" ht="20" customHeight="1" x14ac:dyDescent="0.35">
      <c r="A125" s="65" t="s">
        <v>97</v>
      </c>
      <c r="B125" s="66"/>
      <c r="C125" s="62"/>
      <c r="D125" s="84">
        <v>0.74</v>
      </c>
      <c r="E125" s="162"/>
      <c r="F125" s="55" t="s">
        <v>92</v>
      </c>
      <c r="G125" s="85">
        <f t="shared" si="24"/>
        <v>0</v>
      </c>
      <c r="H125" s="57"/>
      <c r="I125" s="17"/>
      <c r="J125" s="17" t="str">
        <f>IF(Table13[[#This Row],[Qty]]="","", IF(Table13[[#This Row],[Qty]]&gt;0,Table13[[#This Row],[Qty]]))</f>
        <v/>
      </c>
      <c r="K125" s="17">
        <v>43</v>
      </c>
      <c r="L125" s="37"/>
      <c r="M125" s="17"/>
      <c r="N125" s="17">
        <f>Table13[[#This Row],[Qty]]*Table13[[#This Row],[Weight / unit]]</f>
        <v>0</v>
      </c>
    </row>
    <row r="126" spans="1:14" s="9" customFormat="1" ht="20" customHeight="1" x14ac:dyDescent="0.35">
      <c r="A126" s="65" t="s">
        <v>85</v>
      </c>
      <c r="B126" s="66"/>
      <c r="C126" s="62"/>
      <c r="D126" s="84">
        <v>0.82</v>
      </c>
      <c r="E126" s="162"/>
      <c r="F126" s="55" t="s">
        <v>92</v>
      </c>
      <c r="G126" s="85">
        <f t="shared" si="24"/>
        <v>0</v>
      </c>
      <c r="H126" s="57"/>
      <c r="I126" s="17"/>
      <c r="J126" s="17" t="str">
        <f>IF(Table13[[#This Row],[Qty]]="","", IF(Table13[[#This Row],[Qty]]&gt;0,Table13[[#This Row],[Qty]]))</f>
        <v/>
      </c>
      <c r="K126" s="17">
        <v>45.2</v>
      </c>
      <c r="L126" s="37"/>
      <c r="M126" s="17"/>
      <c r="N126" s="17">
        <f>Table13[[#This Row],[Qty]]*Table13[[#This Row],[Weight / unit]]</f>
        <v>0</v>
      </c>
    </row>
    <row r="127" spans="1:14" s="9" customFormat="1" ht="20" customHeight="1" x14ac:dyDescent="0.35">
      <c r="A127" s="65" t="s">
        <v>91</v>
      </c>
      <c r="B127" s="66"/>
      <c r="C127" s="62"/>
      <c r="D127" s="84">
        <v>0.9</v>
      </c>
      <c r="E127" s="162"/>
      <c r="F127" s="55" t="s">
        <v>92</v>
      </c>
      <c r="G127" s="85">
        <f t="shared" si="24"/>
        <v>0</v>
      </c>
      <c r="H127" s="57"/>
      <c r="I127" s="17"/>
      <c r="J127" s="17" t="str">
        <f>IF(Table13[[#This Row],[Qty]]="","", IF(Table13[[#This Row],[Qty]]&gt;0,Table13[[#This Row],[Qty]]))</f>
        <v/>
      </c>
      <c r="K127" s="17">
        <v>49.3</v>
      </c>
      <c r="L127" s="37"/>
      <c r="M127" s="17"/>
      <c r="N127" s="17">
        <f>Table13[[#This Row],[Qty]]*Table13[[#This Row],[Weight / unit]]</f>
        <v>0</v>
      </c>
    </row>
    <row r="128" spans="1:14" s="9" customFormat="1" ht="20" customHeight="1" x14ac:dyDescent="0.35">
      <c r="A128" s="65" t="s">
        <v>86</v>
      </c>
      <c r="B128" s="66"/>
      <c r="C128" s="62"/>
      <c r="D128" s="84">
        <v>1.02</v>
      </c>
      <c r="E128" s="162"/>
      <c r="F128" s="55" t="s">
        <v>92</v>
      </c>
      <c r="G128" s="85">
        <f t="shared" ref="G128:G133" si="26">E128*D128</f>
        <v>0</v>
      </c>
      <c r="H128" s="57"/>
      <c r="I128" s="17"/>
      <c r="J128" s="17" t="str">
        <f>IF(Table13[[#This Row],[Qty]]="","", IF(Table13[[#This Row],[Qty]]&gt;0,Table13[[#This Row],[Qty]]))</f>
        <v/>
      </c>
      <c r="K128" s="17">
        <v>52.1</v>
      </c>
      <c r="L128" s="37"/>
      <c r="M128" s="17"/>
      <c r="N128" s="17">
        <f>Table13[[#This Row],[Qty]]*Table13[[#This Row],[Weight / unit]]</f>
        <v>0</v>
      </c>
    </row>
    <row r="129" spans="1:14" s="9" customFormat="1" ht="20" customHeight="1" x14ac:dyDescent="0.35">
      <c r="A129" s="65" t="s">
        <v>93</v>
      </c>
      <c r="B129" s="66"/>
      <c r="C129" s="62"/>
      <c r="D129" s="84">
        <v>1.1100000000000001</v>
      </c>
      <c r="E129" s="162"/>
      <c r="F129" s="55" t="s">
        <v>92</v>
      </c>
      <c r="G129" s="85">
        <f t="shared" ref="G129" si="27">E129*D129</f>
        <v>0</v>
      </c>
      <c r="H129" s="57"/>
      <c r="I129" s="17"/>
      <c r="J129" s="17" t="str">
        <f>IF(Table13[[#This Row],[Qty]]="","", IF(Table13[[#This Row],[Qty]]&gt;0,Table13[[#This Row],[Qty]]))</f>
        <v/>
      </c>
      <c r="K129" s="17">
        <v>56.4</v>
      </c>
      <c r="L129" s="37"/>
      <c r="M129" s="17"/>
      <c r="N129" s="17">
        <f>Table13[[#This Row],[Qty]]*Table13[[#This Row],[Weight / unit]]</f>
        <v>0</v>
      </c>
    </row>
    <row r="130" spans="1:14" s="9" customFormat="1" ht="20" customHeight="1" x14ac:dyDescent="0.35">
      <c r="A130" s="65" t="s">
        <v>87</v>
      </c>
      <c r="B130" s="66"/>
      <c r="C130" s="62"/>
      <c r="D130" s="84">
        <v>1.19</v>
      </c>
      <c r="E130" s="162"/>
      <c r="F130" s="55" t="s">
        <v>92</v>
      </c>
      <c r="G130" s="85">
        <f t="shared" si="26"/>
        <v>0</v>
      </c>
      <c r="H130" s="57"/>
      <c r="I130" s="17"/>
      <c r="J130" s="17" t="str">
        <f>IF(Table13[[#This Row],[Qty]]="","", IF(Table13[[#This Row],[Qty]]&gt;0,Table13[[#This Row],[Qty]]))</f>
        <v/>
      </c>
      <c r="K130" s="17">
        <v>59.4</v>
      </c>
      <c r="L130" s="37"/>
      <c r="M130" s="17"/>
      <c r="N130" s="17">
        <f>Table13[[#This Row],[Qty]]*Table13[[#This Row],[Weight / unit]]</f>
        <v>0</v>
      </c>
    </row>
    <row r="131" spans="1:14" s="9" customFormat="1" ht="20" customHeight="1" x14ac:dyDescent="0.35">
      <c r="A131" s="65" t="s">
        <v>88</v>
      </c>
      <c r="B131" s="66"/>
      <c r="C131" s="62"/>
      <c r="D131" s="84">
        <v>1.56</v>
      </c>
      <c r="E131" s="162"/>
      <c r="F131" s="55" t="s">
        <v>92</v>
      </c>
      <c r="G131" s="85">
        <f t="shared" si="26"/>
        <v>0</v>
      </c>
      <c r="H131" s="57"/>
      <c r="I131" s="17"/>
      <c r="J131" s="17" t="str">
        <f>IF(Table13[[#This Row],[Qty]]="","", IF(Table13[[#This Row],[Qty]]&gt;0,Table13[[#This Row],[Qty]]))</f>
        <v/>
      </c>
      <c r="K131" s="17">
        <v>66.3</v>
      </c>
      <c r="L131" s="37"/>
      <c r="M131" s="17"/>
      <c r="N131" s="17">
        <f>Table13[[#This Row],[Qty]]*Table13[[#This Row],[Weight / unit]]</f>
        <v>0</v>
      </c>
    </row>
    <row r="132" spans="1:14" s="9" customFormat="1" ht="20" customHeight="1" x14ac:dyDescent="0.35">
      <c r="A132" s="65" t="s">
        <v>89</v>
      </c>
      <c r="B132" s="66"/>
      <c r="C132" s="62"/>
      <c r="D132" s="84">
        <v>1.59</v>
      </c>
      <c r="E132" s="162"/>
      <c r="F132" s="55" t="s">
        <v>92</v>
      </c>
      <c r="G132" s="85">
        <f t="shared" si="26"/>
        <v>0</v>
      </c>
      <c r="H132" s="57"/>
      <c r="I132" s="17"/>
      <c r="J132" s="17" t="str">
        <f>IF(Table13[[#This Row],[Qty]]="","", IF(Table13[[#This Row],[Qty]]&gt;0,Table13[[#This Row],[Qty]]))</f>
        <v/>
      </c>
      <c r="K132" s="17">
        <v>73.2</v>
      </c>
      <c r="L132" s="37"/>
      <c r="M132" s="17"/>
      <c r="N132" s="17">
        <f>Table13[[#This Row],[Qty]]*Table13[[#This Row],[Weight / unit]]</f>
        <v>0</v>
      </c>
    </row>
    <row r="133" spans="1:14" s="9" customFormat="1" ht="20" customHeight="1" x14ac:dyDescent="0.35">
      <c r="A133" s="65" t="s">
        <v>90</v>
      </c>
      <c r="B133" s="66"/>
      <c r="C133" s="62"/>
      <c r="D133" s="84">
        <v>2.0699999999999998</v>
      </c>
      <c r="E133" s="162"/>
      <c r="F133" s="55" t="s">
        <v>92</v>
      </c>
      <c r="G133" s="85">
        <f t="shared" si="26"/>
        <v>0</v>
      </c>
      <c r="H133" s="57"/>
      <c r="I133" s="17"/>
      <c r="J133" s="17" t="str">
        <f>IF(Table13[[#This Row],[Qty]]="","", IF(Table13[[#This Row],[Qty]]&gt;0,Table13[[#This Row],[Qty]]))</f>
        <v/>
      </c>
      <c r="K133" s="17">
        <v>80.099999999999994</v>
      </c>
      <c r="L133" s="37"/>
      <c r="M133" s="17"/>
      <c r="N133" s="17">
        <f>Table13[[#This Row],[Qty]]*Table13[[#This Row],[Weight / unit]]</f>
        <v>0</v>
      </c>
    </row>
    <row r="134" spans="1:14" s="9" customFormat="1" ht="20" customHeight="1" x14ac:dyDescent="0.35">
      <c r="A134" s="77" t="s">
        <v>287</v>
      </c>
      <c r="B134" s="78"/>
      <c r="C134" s="79"/>
      <c r="D134" s="80"/>
      <c r="E134" s="78"/>
      <c r="F134" s="81"/>
      <c r="G134" s="82" t="str">
        <f>IF(SUM(G135:G139)=0,"",SUM(G135:G139))</f>
        <v/>
      </c>
      <c r="H134" s="82"/>
      <c r="I134" s="82"/>
      <c r="J134" s="82"/>
      <c r="K134" s="82"/>
      <c r="L134" s="83"/>
      <c r="M134" s="82"/>
      <c r="N134" s="82"/>
    </row>
    <row r="135" spans="1:14" s="9" customFormat="1" ht="20" customHeight="1" x14ac:dyDescent="0.35">
      <c r="A135" s="65" t="s">
        <v>146</v>
      </c>
      <c r="B135" s="66"/>
      <c r="C135" s="62"/>
      <c r="D135" s="84">
        <v>0.5</v>
      </c>
      <c r="E135" s="162"/>
      <c r="F135" s="55" t="s">
        <v>92</v>
      </c>
      <c r="G135" s="85">
        <f>E135*D135</f>
        <v>0</v>
      </c>
      <c r="H135" s="57"/>
      <c r="I135" s="17"/>
      <c r="J135" s="17" t="str">
        <f>IF(Table13[[#This Row],[Qty]]="","", IF(Table13[[#This Row],[Qty]]&gt;0,Table13[[#This Row],[Qty]]))</f>
        <v/>
      </c>
      <c r="K135" s="17">
        <v>18</v>
      </c>
      <c r="L135" s="37"/>
      <c r="M135" s="17"/>
      <c r="N135" s="17">
        <f>Table13[[#This Row],[Qty]]*Table13[[#This Row],[Weight / unit]]</f>
        <v>0</v>
      </c>
    </row>
    <row r="136" spans="1:14" s="9" customFormat="1" ht="20" customHeight="1" x14ac:dyDescent="0.35">
      <c r="A136" s="65" t="s">
        <v>145</v>
      </c>
      <c r="B136" s="66"/>
      <c r="C136" s="62"/>
      <c r="D136" s="84">
        <v>0.6</v>
      </c>
      <c r="E136" s="162"/>
      <c r="F136" s="55" t="s">
        <v>92</v>
      </c>
      <c r="G136" s="85">
        <f t="shared" ref="G136" si="28">E136*D136</f>
        <v>0</v>
      </c>
      <c r="H136" s="57"/>
      <c r="I136" s="17"/>
      <c r="J136" s="17" t="str">
        <f>IF(Table13[[#This Row],[Qty]]="","", IF(Table13[[#This Row],[Qty]]&gt;0,Table13[[#This Row],[Qty]]))</f>
        <v/>
      </c>
      <c r="K136" s="17">
        <v>23</v>
      </c>
      <c r="L136" s="37"/>
      <c r="M136" s="17"/>
      <c r="N136" s="17">
        <f>Table13[[#This Row],[Qty]]*Table13[[#This Row],[Weight / unit]]</f>
        <v>0</v>
      </c>
    </row>
    <row r="137" spans="1:14" s="9" customFormat="1" ht="20" customHeight="1" x14ac:dyDescent="0.35">
      <c r="A137" s="65" t="s">
        <v>254</v>
      </c>
      <c r="B137" s="69"/>
      <c r="C137" s="62"/>
      <c r="D137" s="84">
        <v>0.95</v>
      </c>
      <c r="E137" s="164"/>
      <c r="F137" s="87" t="s">
        <v>92</v>
      </c>
      <c r="G137" s="88">
        <f>E137*D137</f>
        <v>0</v>
      </c>
      <c r="H137" s="57"/>
      <c r="I137" s="17"/>
      <c r="J137" s="17" t="str">
        <f>IF(Table13[[#This Row],[Qty]]="","", IF(Table13[[#This Row],[Qty]]&gt;0,Table13[[#This Row],[Qty]]))</f>
        <v/>
      </c>
      <c r="K137" s="17">
        <v>30</v>
      </c>
      <c r="L137" s="37"/>
      <c r="M137" s="17"/>
      <c r="N137" s="17">
        <f>Table13[[#This Row],[Qty]]*Table13[[#This Row],[Weight / unit]]</f>
        <v>0</v>
      </c>
    </row>
    <row r="138" spans="1:14" s="9" customFormat="1" ht="20" customHeight="1" x14ac:dyDescent="0.35">
      <c r="A138" s="65" t="s">
        <v>255</v>
      </c>
      <c r="B138" s="69"/>
      <c r="C138" s="62"/>
      <c r="D138" s="84">
        <v>1.2</v>
      </c>
      <c r="E138" s="164"/>
      <c r="F138" s="87" t="s">
        <v>92</v>
      </c>
      <c r="G138" s="88">
        <f>E138*D138</f>
        <v>0</v>
      </c>
      <c r="H138" s="57"/>
      <c r="I138" s="17"/>
      <c r="J138" s="17" t="str">
        <f>IF(Table13[[#This Row],[Qty]]="","", IF(Table13[[#This Row],[Qty]]&gt;0,Table13[[#This Row],[Qty]]))</f>
        <v/>
      </c>
      <c r="K138" s="17">
        <v>37</v>
      </c>
      <c r="L138" s="37"/>
      <c r="M138" s="17"/>
      <c r="N138" s="17">
        <f>Table13[[#This Row],[Qty]]*Table13[[#This Row],[Weight / unit]]</f>
        <v>0</v>
      </c>
    </row>
    <row r="139" spans="1:14" s="9" customFormat="1" ht="20" customHeight="1" x14ac:dyDescent="0.35">
      <c r="A139" s="65" t="s">
        <v>256</v>
      </c>
      <c r="B139" s="69"/>
      <c r="C139" s="62"/>
      <c r="D139" s="84">
        <v>1.5</v>
      </c>
      <c r="E139" s="164"/>
      <c r="F139" s="87" t="s">
        <v>92</v>
      </c>
      <c r="G139" s="88">
        <f>E139*D139</f>
        <v>0</v>
      </c>
      <c r="H139" s="57"/>
      <c r="I139" s="17"/>
      <c r="J139" s="17" t="str">
        <f>IF(Table13[[#This Row],[Qty]]="","", IF(Table13[[#This Row],[Qty]]&gt;0,Table13[[#This Row],[Qty]]))</f>
        <v/>
      </c>
      <c r="K139" s="17">
        <v>44</v>
      </c>
      <c r="L139" s="37"/>
      <c r="M139" s="17"/>
      <c r="N139" s="17">
        <f>Table13[[#This Row],[Qty]]*Table13[[#This Row],[Weight / unit]]</f>
        <v>0</v>
      </c>
    </row>
    <row r="140" spans="1:14" s="9" customFormat="1" ht="20" customHeight="1" x14ac:dyDescent="0.35">
      <c r="A140" s="77" t="s">
        <v>284</v>
      </c>
      <c r="B140" s="78"/>
      <c r="C140" s="79"/>
      <c r="D140" s="80"/>
      <c r="E140" s="78"/>
      <c r="F140" s="81"/>
      <c r="G140" s="82" t="str">
        <f>IF(SUM(G141:G150)=0,"",SUM(G141:G150))</f>
        <v/>
      </c>
      <c r="H140" s="82"/>
      <c r="I140" s="82"/>
      <c r="J140" s="82"/>
      <c r="K140" s="82"/>
      <c r="L140" s="83"/>
      <c r="M140" s="82"/>
      <c r="N140" s="82"/>
    </row>
    <row r="141" spans="1:14" s="9" customFormat="1" ht="20" customHeight="1" x14ac:dyDescent="0.35">
      <c r="A141" s="65" t="s">
        <v>281</v>
      </c>
      <c r="B141" s="66"/>
      <c r="C141" s="62"/>
      <c r="D141" s="84">
        <f>Table13[[#This Row],[Total]]</f>
        <v>0</v>
      </c>
      <c r="E141" s="162"/>
      <c r="F141" s="163" t="s">
        <v>94</v>
      </c>
      <c r="G141" s="85">
        <f>IF(Table13[[#This Row],[Qty]]="Yes",Table13[[#This Row],['#bolts ordered]]*1.3,0)</f>
        <v>0</v>
      </c>
      <c r="H141" s="57">
        <f>SUM(H18:H97)</f>
        <v>0</v>
      </c>
      <c r="I141" s="17"/>
      <c r="J141" s="17">
        <f>IF(Table13[[#This Row],[Qty]]="Yes", SUM(J18:J97),0)</f>
        <v>0</v>
      </c>
      <c r="K141" s="17">
        <v>35</v>
      </c>
      <c r="L141" s="37"/>
      <c r="M141" s="17"/>
      <c r="N141" s="17">
        <f>IF(Table13[[#This Row],[Qty]]="Yes",Table13[[#This Row],['#bolts ordered]]*Table13[[#This Row],[Weight / unit]],0)</f>
        <v>0</v>
      </c>
    </row>
    <row r="142" spans="1:14" s="9" customFormat="1" ht="20" customHeight="1" x14ac:dyDescent="0.35">
      <c r="A142" s="65" t="s">
        <v>80</v>
      </c>
      <c r="B142" s="66" t="s">
        <v>183</v>
      </c>
      <c r="C142" s="62"/>
      <c r="D142" s="84">
        <v>1.03</v>
      </c>
      <c r="E142" s="162"/>
      <c r="F142" s="55" t="s">
        <v>92</v>
      </c>
      <c r="G142" s="85">
        <f t="shared" ref="G142:G150" si="29">E142*D142</f>
        <v>0</v>
      </c>
      <c r="H142" s="57"/>
      <c r="I142" s="17"/>
      <c r="J142" s="17" t="str">
        <f>IF(Table13[[#This Row],[Qty]]="","", IF(Table13[[#This Row],[Qty]]&gt;0,Table13[[#This Row],[Qty]]))</f>
        <v/>
      </c>
      <c r="K142" s="17">
        <v>22.3</v>
      </c>
      <c r="L142" s="37"/>
      <c r="M142" s="17"/>
      <c r="N142" s="17">
        <f>Table13[[#This Row],[Qty]]*Table13[[#This Row],[Weight / unit]]</f>
        <v>0</v>
      </c>
    </row>
    <row r="143" spans="1:14" s="9" customFormat="1" ht="20" customHeight="1" x14ac:dyDescent="0.35">
      <c r="A143" s="65" t="s">
        <v>81</v>
      </c>
      <c r="B143" s="66" t="s">
        <v>183</v>
      </c>
      <c r="C143" s="62"/>
      <c r="D143" s="84">
        <v>1.43</v>
      </c>
      <c r="E143" s="162"/>
      <c r="F143" s="55" t="s">
        <v>92</v>
      </c>
      <c r="G143" s="85">
        <f t="shared" ref="G143" si="30">E143*D143</f>
        <v>0</v>
      </c>
      <c r="H143" s="57"/>
      <c r="I143" s="17"/>
      <c r="J143" s="17" t="str">
        <f>IF(Table13[[#This Row],[Qty]]="","", IF(Table13[[#This Row],[Qty]]&gt;0,Table13[[#This Row],[Qty]]))</f>
        <v/>
      </c>
      <c r="K143" s="17">
        <v>25.1</v>
      </c>
      <c r="L143" s="37"/>
      <c r="M143" s="17"/>
      <c r="N143" s="17">
        <f>Table13[[#This Row],[Qty]]*Table13[[#This Row],[Weight / unit]]</f>
        <v>0</v>
      </c>
    </row>
    <row r="144" spans="1:14" s="9" customFormat="1" ht="20" customHeight="1" x14ac:dyDescent="0.35">
      <c r="A144" s="65" t="s">
        <v>165</v>
      </c>
      <c r="B144" s="66" t="s">
        <v>183</v>
      </c>
      <c r="C144" s="62"/>
      <c r="D144" s="84">
        <v>1.51</v>
      </c>
      <c r="E144" s="162"/>
      <c r="F144" s="55" t="s">
        <v>92</v>
      </c>
      <c r="G144" s="85">
        <f t="shared" ref="G144" si="31">E144*D144</f>
        <v>0</v>
      </c>
      <c r="H144" s="57"/>
      <c r="I144" s="17"/>
      <c r="J144" s="17" t="str">
        <f>IF(Table13[[#This Row],[Qty]]="","", IF(Table13[[#This Row],[Qty]]&gt;0,Table13[[#This Row],[Qty]]))</f>
        <v/>
      </c>
      <c r="K144" s="17">
        <v>26.1</v>
      </c>
      <c r="L144" s="37"/>
      <c r="M144" s="17"/>
      <c r="N144" s="17">
        <f>Table13[[#This Row],[Qty]]*Table13[[#This Row],[Weight / unit]]</f>
        <v>0</v>
      </c>
    </row>
    <row r="145" spans="1:14" s="9" customFormat="1" ht="20" customHeight="1" x14ac:dyDescent="0.35">
      <c r="A145" s="65" t="s">
        <v>84</v>
      </c>
      <c r="B145" s="66" t="s">
        <v>183</v>
      </c>
      <c r="C145" s="62"/>
      <c r="D145" s="84">
        <v>2.02</v>
      </c>
      <c r="E145" s="162"/>
      <c r="F145" s="55" t="s">
        <v>92</v>
      </c>
      <c r="G145" s="85">
        <f t="shared" si="29"/>
        <v>0</v>
      </c>
      <c r="H145" s="57"/>
      <c r="I145" s="17"/>
      <c r="J145" s="17" t="str">
        <f>IF(Table13[[#This Row],[Qty]]="","", IF(Table13[[#This Row],[Qty]]&gt;0,Table13[[#This Row],[Qty]]))</f>
        <v/>
      </c>
      <c r="K145" s="17">
        <v>31.3</v>
      </c>
      <c r="L145" s="37"/>
      <c r="M145" s="17"/>
      <c r="N145" s="17">
        <f>Table13[[#This Row],[Qty]]*Table13[[#This Row],[Weight / unit]]</f>
        <v>0</v>
      </c>
    </row>
    <row r="146" spans="1:14" s="9" customFormat="1" ht="20" customHeight="1" x14ac:dyDescent="0.35">
      <c r="A146" s="65" t="s">
        <v>142</v>
      </c>
      <c r="B146" s="66" t="s">
        <v>183</v>
      </c>
      <c r="C146" s="67"/>
      <c r="D146" s="84">
        <v>2.25</v>
      </c>
      <c r="E146" s="162"/>
      <c r="F146" s="55" t="s">
        <v>92</v>
      </c>
      <c r="G146" s="85">
        <f>E146*D146</f>
        <v>0</v>
      </c>
      <c r="H146" s="57"/>
      <c r="I146" s="17"/>
      <c r="J146" s="17" t="str">
        <f>IF(Table13[[#This Row],[Qty]]="","", IF(Table13[[#This Row],[Qty]]&gt;0,Table13[[#This Row],[Qty]]))</f>
        <v/>
      </c>
      <c r="K146" s="17">
        <v>35.799999999999997</v>
      </c>
      <c r="L146" s="37"/>
      <c r="M146" s="17"/>
      <c r="N146" s="17">
        <f>Table13[[#This Row],[Qty]]*Table13[[#This Row],[Weight / unit]]</f>
        <v>0</v>
      </c>
    </row>
    <row r="147" spans="1:14" s="9" customFormat="1" ht="20" customHeight="1" x14ac:dyDescent="0.35">
      <c r="A147" s="65" t="s">
        <v>83</v>
      </c>
      <c r="B147" s="66" t="s">
        <v>183</v>
      </c>
      <c r="C147" s="62"/>
      <c r="D147" s="84">
        <v>2.86</v>
      </c>
      <c r="E147" s="162"/>
      <c r="F147" s="55" t="s">
        <v>92</v>
      </c>
      <c r="G147" s="85">
        <f t="shared" ref="G147:G148" si="32">E147*D147</f>
        <v>0</v>
      </c>
      <c r="H147" s="57"/>
      <c r="I147" s="17"/>
      <c r="J147" s="17" t="str">
        <f>IF(Table13[[#This Row],[Qty]]="","", IF(Table13[[#This Row],[Qty]]&gt;0,Table13[[#This Row],[Qty]]))</f>
        <v/>
      </c>
      <c r="K147" s="17">
        <v>37.299999999999997</v>
      </c>
      <c r="L147" s="37"/>
      <c r="M147" s="17"/>
      <c r="N147" s="17">
        <f>Table13[[#This Row],[Qty]]*Table13[[#This Row],[Weight / unit]]</f>
        <v>0</v>
      </c>
    </row>
    <row r="148" spans="1:14" s="9" customFormat="1" ht="20" customHeight="1" x14ac:dyDescent="0.35">
      <c r="A148" s="65" t="s">
        <v>85</v>
      </c>
      <c r="B148" s="66" t="s">
        <v>183</v>
      </c>
      <c r="C148" s="62"/>
      <c r="D148" s="84">
        <v>3.05</v>
      </c>
      <c r="E148" s="162"/>
      <c r="F148" s="55" t="s">
        <v>92</v>
      </c>
      <c r="G148" s="85">
        <f t="shared" si="32"/>
        <v>0</v>
      </c>
      <c r="H148" s="57"/>
      <c r="I148" s="17"/>
      <c r="J148" s="17" t="str">
        <f>IF(Table13[[#This Row],[Qty]]="","", IF(Table13[[#This Row],[Qty]]&gt;0,Table13[[#This Row],[Qty]]))</f>
        <v/>
      </c>
      <c r="K148" s="17">
        <v>46</v>
      </c>
      <c r="L148" s="37"/>
      <c r="M148" s="17"/>
      <c r="N148" s="17">
        <f>Table13[[#This Row],[Qty]]*Table13[[#This Row],[Weight / unit]]</f>
        <v>0</v>
      </c>
    </row>
    <row r="149" spans="1:14" s="9" customFormat="1" ht="20" customHeight="1" x14ac:dyDescent="0.35">
      <c r="A149" s="65" t="s">
        <v>86</v>
      </c>
      <c r="B149" s="66" t="s">
        <v>183</v>
      </c>
      <c r="C149" s="62"/>
      <c r="D149" s="84">
        <v>4.75</v>
      </c>
      <c r="E149" s="162"/>
      <c r="F149" s="55" t="s">
        <v>92</v>
      </c>
      <c r="G149" s="85">
        <f t="shared" ref="G149" si="33">E149*D149</f>
        <v>0</v>
      </c>
      <c r="H149" s="57"/>
      <c r="I149" s="17"/>
      <c r="J149" s="17" t="str">
        <f>IF(Table13[[#This Row],[Qty]]="","", IF(Table13[[#This Row],[Qty]]&gt;0,Table13[[#This Row],[Qty]]))</f>
        <v/>
      </c>
      <c r="K149" s="17">
        <v>53</v>
      </c>
      <c r="L149" s="37"/>
      <c r="M149" s="17"/>
      <c r="N149" s="17">
        <f>Table13[[#This Row],[Qty]]*Table13[[#This Row],[Weight / unit]]</f>
        <v>0</v>
      </c>
    </row>
    <row r="150" spans="1:14" s="9" customFormat="1" ht="20" customHeight="1" x14ac:dyDescent="0.35">
      <c r="A150" s="65" t="s">
        <v>87</v>
      </c>
      <c r="B150" s="66" t="s">
        <v>183</v>
      </c>
      <c r="C150" s="62"/>
      <c r="D150" s="84">
        <v>4.05</v>
      </c>
      <c r="E150" s="162"/>
      <c r="F150" s="55" t="s">
        <v>92</v>
      </c>
      <c r="G150" s="85">
        <f t="shared" si="29"/>
        <v>0</v>
      </c>
      <c r="H150" s="57"/>
      <c r="I150" s="17"/>
      <c r="J150" s="17" t="str">
        <f>IF(Table13[[#This Row],[Qty]]="","", IF(Table13[[#This Row],[Qty]]&gt;0,Table13[[#This Row],[Qty]]))</f>
        <v/>
      </c>
      <c r="K150" s="17">
        <v>60</v>
      </c>
      <c r="L150" s="37"/>
      <c r="M150" s="17"/>
      <c r="N150" s="17">
        <f>Table13[[#This Row],[Qty]]*Table13[[#This Row],[Weight / unit]]</f>
        <v>0</v>
      </c>
    </row>
    <row r="151" spans="1:14" s="9" customFormat="1" ht="20" customHeight="1" x14ac:dyDescent="0.35">
      <c r="A151" s="77" t="s">
        <v>288</v>
      </c>
      <c r="B151" s="78"/>
      <c r="C151" s="79"/>
      <c r="D151" s="80"/>
      <c r="E151" s="78"/>
      <c r="F151" s="81"/>
      <c r="G151" s="82" t="str">
        <f>IF(SUM(G152:G157)=0,"",SUM(G152:G157))</f>
        <v/>
      </c>
      <c r="H151" s="82"/>
      <c r="I151" s="82"/>
      <c r="J151" s="82"/>
      <c r="K151" s="82"/>
      <c r="L151" s="83"/>
      <c r="M151" s="82"/>
      <c r="N151" s="82"/>
    </row>
    <row r="152" spans="1:14" s="9" customFormat="1" ht="20" customHeight="1" x14ac:dyDescent="0.35">
      <c r="A152" s="65" t="s">
        <v>145</v>
      </c>
      <c r="B152" s="66" t="s">
        <v>183</v>
      </c>
      <c r="C152" s="89"/>
      <c r="D152" s="84">
        <v>1.24</v>
      </c>
      <c r="E152" s="164"/>
      <c r="F152" s="55" t="s">
        <v>92</v>
      </c>
      <c r="G152" s="88">
        <f t="shared" ref="G152:G157" si="34">E152*D152</f>
        <v>0</v>
      </c>
      <c r="H152" s="17"/>
      <c r="I152" s="17"/>
      <c r="J152" s="17" t="str">
        <f>IF(Table13[[#This Row],[Qty]]="","", IF(Table13[[#This Row],[Qty]]&gt;0,Table13[[#This Row],[Qty]]))</f>
        <v/>
      </c>
      <c r="K152" s="17">
        <v>23</v>
      </c>
      <c r="L152" s="37"/>
      <c r="M152" s="17"/>
      <c r="N152" s="17">
        <f>Table13[[#This Row],[Qty]]*Table13[[#This Row],[Weight / unit]]</f>
        <v>0</v>
      </c>
    </row>
    <row r="153" spans="1:14" s="9" customFormat="1" ht="20" customHeight="1" x14ac:dyDescent="0.35">
      <c r="A153" s="65" t="s">
        <v>289</v>
      </c>
      <c r="B153" s="66" t="s">
        <v>183</v>
      </c>
      <c r="C153" s="89"/>
      <c r="D153" s="84">
        <v>1.46</v>
      </c>
      <c r="E153" s="164"/>
      <c r="F153" s="55" t="s">
        <v>92</v>
      </c>
      <c r="G153" s="88">
        <f t="shared" si="34"/>
        <v>0</v>
      </c>
      <c r="H153" s="17"/>
      <c r="I153" s="17"/>
      <c r="J153" s="17" t="str">
        <f>IF(Table13[[#This Row],[Qty]]="","", IF(Table13[[#This Row],[Qty]]&gt;0,Table13[[#This Row],[Qty]]))</f>
        <v/>
      </c>
      <c r="K153" s="17">
        <v>27</v>
      </c>
      <c r="L153" s="37"/>
      <c r="M153" s="17"/>
      <c r="N153" s="17">
        <f>Table13[[#This Row],[Qty]]*Table13[[#This Row],[Weight / unit]]</f>
        <v>0</v>
      </c>
    </row>
    <row r="154" spans="1:14" s="9" customFormat="1" ht="20" customHeight="1" x14ac:dyDescent="0.35">
      <c r="A154" s="65" t="s">
        <v>254</v>
      </c>
      <c r="B154" s="66" t="s">
        <v>183</v>
      </c>
      <c r="C154" s="89"/>
      <c r="D154" s="84">
        <v>1.9</v>
      </c>
      <c r="E154" s="164"/>
      <c r="F154" s="55" t="s">
        <v>92</v>
      </c>
      <c r="G154" s="88">
        <f t="shared" si="34"/>
        <v>0</v>
      </c>
      <c r="H154" s="17"/>
      <c r="I154" s="17"/>
      <c r="J154" s="17" t="str">
        <f>IF(Table13[[#This Row],[Qty]]="","", IF(Table13[[#This Row],[Qty]]&gt;0,Table13[[#This Row],[Qty]]))</f>
        <v/>
      </c>
      <c r="K154" s="17">
        <v>30</v>
      </c>
      <c r="L154" s="37"/>
      <c r="M154" s="17"/>
      <c r="N154" s="17">
        <f>Table13[[#This Row],[Qty]]*Table13[[#This Row],[Weight / unit]]</f>
        <v>0</v>
      </c>
    </row>
    <row r="155" spans="1:14" s="9" customFormat="1" ht="20" customHeight="1" x14ac:dyDescent="0.35">
      <c r="A155" s="65" t="s">
        <v>290</v>
      </c>
      <c r="B155" s="66" t="s">
        <v>183</v>
      </c>
      <c r="C155" s="89"/>
      <c r="D155" s="84">
        <v>2.4500000000000002</v>
      </c>
      <c r="E155" s="164"/>
      <c r="F155" s="55" t="s">
        <v>92</v>
      </c>
      <c r="G155" s="88">
        <f t="shared" si="34"/>
        <v>0</v>
      </c>
      <c r="H155" s="17"/>
      <c r="I155" s="17"/>
      <c r="J155" s="17" t="str">
        <f>IF(Table13[[#This Row],[Qty]]="","", IF(Table13[[#This Row],[Qty]]&gt;0,Table13[[#This Row],[Qty]]))</f>
        <v/>
      </c>
      <c r="K155" s="17">
        <v>34</v>
      </c>
      <c r="L155" s="37"/>
      <c r="M155" s="17"/>
      <c r="N155" s="17">
        <f>Table13[[#This Row],[Qty]]*Table13[[#This Row],[Weight / unit]]</f>
        <v>0</v>
      </c>
    </row>
    <row r="156" spans="1:14" s="9" customFormat="1" ht="20" customHeight="1" x14ac:dyDescent="0.35">
      <c r="A156" s="65" t="s">
        <v>255</v>
      </c>
      <c r="B156" s="66" t="s">
        <v>183</v>
      </c>
      <c r="C156" s="89"/>
      <c r="D156" s="84">
        <v>2.09</v>
      </c>
      <c r="E156" s="164"/>
      <c r="F156" s="55" t="s">
        <v>92</v>
      </c>
      <c r="G156" s="88">
        <f t="shared" si="34"/>
        <v>0</v>
      </c>
      <c r="H156" s="17"/>
      <c r="I156" s="17"/>
      <c r="J156" s="17" t="str">
        <f>IF(Table13[[#This Row],[Qty]]="","", IF(Table13[[#This Row],[Qty]]&gt;0,Table13[[#This Row],[Qty]]))</f>
        <v/>
      </c>
      <c r="K156" s="17">
        <v>37</v>
      </c>
      <c r="L156" s="37"/>
      <c r="M156" s="17"/>
      <c r="N156" s="17">
        <f>Table13[[#This Row],[Qty]]*Table13[[#This Row],[Weight / unit]]</f>
        <v>0</v>
      </c>
    </row>
    <row r="157" spans="1:14" s="9" customFormat="1" ht="20" customHeight="1" x14ac:dyDescent="0.35">
      <c r="A157" s="65" t="s">
        <v>256</v>
      </c>
      <c r="B157" s="66" t="s">
        <v>183</v>
      </c>
      <c r="C157" s="89"/>
      <c r="D157" s="84">
        <v>2.7</v>
      </c>
      <c r="E157" s="164"/>
      <c r="F157" s="55" t="s">
        <v>92</v>
      </c>
      <c r="G157" s="88">
        <f t="shared" si="34"/>
        <v>0</v>
      </c>
      <c r="H157" s="17"/>
      <c r="I157" s="17"/>
      <c r="J157" s="17" t="str">
        <f>IF(Table13[[#This Row],[Qty]]="","", IF(Table13[[#This Row],[Qty]]&gt;0,Table13[[#This Row],[Qty]]))</f>
        <v/>
      </c>
      <c r="K157" s="17">
        <v>44</v>
      </c>
      <c r="L157" s="37"/>
      <c r="M157" s="17"/>
      <c r="N157" s="17">
        <f>Table13[[#This Row],[Qty]]*Table13[[#This Row],[Weight / unit]]</f>
        <v>0</v>
      </c>
    </row>
    <row r="158" spans="1:14" s="9" customFormat="1" ht="20" customHeight="1" x14ac:dyDescent="0.35">
      <c r="A158" s="90" t="s">
        <v>234</v>
      </c>
      <c r="B158" s="91"/>
      <c r="C158" s="92"/>
      <c r="D158" s="93"/>
      <c r="E158" s="91"/>
      <c r="F158" s="94"/>
      <c r="G158" s="95" t="str">
        <f>IF(SUM(G159:G175)=0,"",SUM(G159:G175))</f>
        <v/>
      </c>
      <c r="H158" s="95"/>
      <c r="I158" s="95"/>
      <c r="J158" s="95"/>
      <c r="K158" s="95"/>
      <c r="L158" s="96"/>
      <c r="M158" s="95"/>
      <c r="N158" s="95"/>
    </row>
    <row r="159" spans="1:14" s="9" customFormat="1" ht="20" customHeight="1" x14ac:dyDescent="0.35">
      <c r="A159" s="65" t="s">
        <v>96</v>
      </c>
      <c r="B159" s="66"/>
      <c r="C159" s="62"/>
      <c r="D159" s="84">
        <f>Table13[[#This Row],[Total]]</f>
        <v>0</v>
      </c>
      <c r="E159" s="162"/>
      <c r="F159" s="163" t="s">
        <v>94</v>
      </c>
      <c r="G159" s="85">
        <f>IF(Table13[[#This Row],[Qty]]="Yes",Table13[[#This Row],['#bolts ordered]]*0.75,0)</f>
        <v>0</v>
      </c>
      <c r="H159" s="57">
        <f>SUM(H18:H97)</f>
        <v>0</v>
      </c>
      <c r="I159" s="17"/>
      <c r="J159" s="17">
        <f>IF(Table13[[#This Row],[Qty]]="Yes", SUM(J18:J97),0)</f>
        <v>0</v>
      </c>
      <c r="K159" s="17">
        <v>35</v>
      </c>
      <c r="L159" s="37"/>
      <c r="M159" s="17"/>
      <c r="N159" s="17">
        <f>IF(Table13[[#This Row],[Qty]]="Yes",Table13[[#This Row],['#bolts ordered]]*Table13[[#This Row],[Weight / unit]],0)</f>
        <v>0</v>
      </c>
    </row>
    <row r="160" spans="1:14" s="9" customFormat="1" ht="20" customHeight="1" x14ac:dyDescent="0.35">
      <c r="A160" s="65" t="s">
        <v>292</v>
      </c>
      <c r="B160" s="66"/>
      <c r="C160" s="62"/>
      <c r="D160" s="84">
        <v>0.42</v>
      </c>
      <c r="E160" s="162"/>
      <c r="F160" s="55" t="s">
        <v>92</v>
      </c>
      <c r="G160" s="85">
        <f>E160*D160</f>
        <v>0</v>
      </c>
      <c r="H160" s="57"/>
      <c r="I160" s="17"/>
      <c r="J160" s="17" t="str">
        <f>IF(Table13[[#This Row],[Qty]]="","", IF(Table13[[#This Row],[Qty]]&gt;0,Table13[[#This Row],[Qty]]))</f>
        <v/>
      </c>
      <c r="K160" s="17">
        <v>29.1</v>
      </c>
      <c r="L160" s="37"/>
      <c r="M160" s="37"/>
      <c r="N160" s="17">
        <f>Table13[[#This Row],[Qty]]*Table13[[#This Row],[Weight / unit]]</f>
        <v>0</v>
      </c>
    </row>
    <row r="161" spans="1:14" s="9" customFormat="1" ht="20" customHeight="1" x14ac:dyDescent="0.35">
      <c r="A161" s="65" t="s">
        <v>198</v>
      </c>
      <c r="B161" s="66"/>
      <c r="C161" s="62"/>
      <c r="D161" s="84">
        <v>0.49</v>
      </c>
      <c r="E161" s="162"/>
      <c r="F161" s="55" t="s">
        <v>92</v>
      </c>
      <c r="G161" s="85">
        <f>E161*D161</f>
        <v>0</v>
      </c>
      <c r="H161" s="57"/>
      <c r="I161" s="17"/>
      <c r="J161" s="17" t="str">
        <f>IF(Table13[[#This Row],[Qty]]="","", IF(Table13[[#This Row],[Qty]]&gt;0,Table13[[#This Row],[Qty]]))</f>
        <v/>
      </c>
      <c r="K161" s="17">
        <v>31.4</v>
      </c>
      <c r="L161" s="37"/>
      <c r="M161" s="37"/>
      <c r="N161" s="17">
        <f>Table13[[#This Row],[Qty]]*Table13[[#This Row],[Weight / unit]]</f>
        <v>0</v>
      </c>
    </row>
    <row r="162" spans="1:14" s="9" customFormat="1" ht="20" customHeight="1" x14ac:dyDescent="0.35">
      <c r="A162" s="65" t="s">
        <v>199</v>
      </c>
      <c r="B162" s="66"/>
      <c r="C162" s="62"/>
      <c r="D162" s="84">
        <v>0.55000000000000004</v>
      </c>
      <c r="E162" s="162"/>
      <c r="F162" s="55" t="s">
        <v>92</v>
      </c>
      <c r="G162" s="85">
        <f t="shared" ref="G162:G165" si="35">E162*D162</f>
        <v>0</v>
      </c>
      <c r="H162" s="57"/>
      <c r="I162" s="17"/>
      <c r="J162" s="17" t="str">
        <f>IF(Table13[[#This Row],[Qty]]="","", IF(Table13[[#This Row],[Qty]]&gt;0,Table13[[#This Row],[Qty]]))</f>
        <v/>
      </c>
      <c r="K162" s="17">
        <v>34.9</v>
      </c>
      <c r="L162" s="37"/>
      <c r="M162" s="37"/>
      <c r="N162" s="17">
        <f>Table13[[#This Row],[Qty]]*Table13[[#This Row],[Weight / unit]]</f>
        <v>0</v>
      </c>
    </row>
    <row r="163" spans="1:14" s="9" customFormat="1" ht="20" customHeight="1" x14ac:dyDescent="0.35">
      <c r="A163" s="86" t="s">
        <v>200</v>
      </c>
      <c r="B163" s="66"/>
      <c r="C163" s="62"/>
      <c r="D163" s="84">
        <v>0.61</v>
      </c>
      <c r="E163" s="162"/>
      <c r="F163" s="55" t="s">
        <v>92</v>
      </c>
      <c r="G163" s="85">
        <f t="shared" si="35"/>
        <v>0</v>
      </c>
      <c r="H163" s="57"/>
      <c r="I163" s="17"/>
      <c r="J163" s="17" t="str">
        <f>IF(Table13[[#This Row],[Qty]]="","", IF(Table13[[#This Row],[Qty]]&gt;0,Table13[[#This Row],[Qty]]))</f>
        <v/>
      </c>
      <c r="K163" s="17">
        <v>37.799999999999997</v>
      </c>
      <c r="L163" s="37"/>
      <c r="M163" s="37"/>
      <c r="N163" s="17">
        <f>Table13[[#This Row],[Qty]]*Table13[[#This Row],[Weight / unit]]</f>
        <v>0</v>
      </c>
    </row>
    <row r="164" spans="1:14" s="9" customFormat="1" ht="20" customHeight="1" x14ac:dyDescent="0.35">
      <c r="A164" s="65" t="s">
        <v>201</v>
      </c>
      <c r="B164" s="66"/>
      <c r="C164" s="62"/>
      <c r="D164" s="84">
        <v>0.64</v>
      </c>
      <c r="E164" s="162"/>
      <c r="F164" s="55" t="s">
        <v>92</v>
      </c>
      <c r="G164" s="85">
        <f t="shared" si="35"/>
        <v>0</v>
      </c>
      <c r="H164" s="57"/>
      <c r="I164" s="17"/>
      <c r="J164" s="17" t="str">
        <f>IF(Table13[[#This Row],[Qty]]="","", IF(Table13[[#This Row],[Qty]]&gt;0,Table13[[#This Row],[Qty]]))</f>
        <v/>
      </c>
      <c r="K164" s="17">
        <v>41.3</v>
      </c>
      <c r="L164" s="37"/>
      <c r="M164" s="37"/>
      <c r="N164" s="17">
        <f>Table13[[#This Row],[Qty]]*Table13[[#This Row],[Weight / unit]]</f>
        <v>0</v>
      </c>
    </row>
    <row r="165" spans="1:14" s="9" customFormat="1" ht="20" customHeight="1" x14ac:dyDescent="0.35">
      <c r="A165" s="65" t="s">
        <v>202</v>
      </c>
      <c r="B165" s="66"/>
      <c r="C165" s="62"/>
      <c r="D165" s="84">
        <v>0.67</v>
      </c>
      <c r="E165" s="162"/>
      <c r="F165" s="55" t="s">
        <v>92</v>
      </c>
      <c r="G165" s="85">
        <f t="shared" si="35"/>
        <v>0</v>
      </c>
      <c r="H165" s="57"/>
      <c r="I165" s="17"/>
      <c r="J165" s="17" t="str">
        <f>IF(Table13[[#This Row],[Qty]]="","", IF(Table13[[#This Row],[Qty]]&gt;0,Table13[[#This Row],[Qty]]))</f>
        <v/>
      </c>
      <c r="K165" s="17">
        <v>43.8</v>
      </c>
      <c r="L165" s="37"/>
      <c r="M165" s="37"/>
      <c r="N165" s="17">
        <f>Table13[[#This Row],[Qty]]*Table13[[#This Row],[Weight / unit]]</f>
        <v>0</v>
      </c>
    </row>
    <row r="166" spans="1:14" s="9" customFormat="1" ht="20" customHeight="1" x14ac:dyDescent="0.35">
      <c r="A166" s="65" t="s">
        <v>203</v>
      </c>
      <c r="B166" s="66"/>
      <c r="C166" s="62"/>
      <c r="D166" s="84">
        <v>0.75</v>
      </c>
      <c r="E166" s="162"/>
      <c r="F166" s="55" t="s">
        <v>92</v>
      </c>
      <c r="G166" s="85">
        <f t="shared" ref="G166" si="36">E166*D166</f>
        <v>0</v>
      </c>
      <c r="H166" s="57"/>
      <c r="I166" s="17"/>
      <c r="J166" s="17" t="str">
        <f>IF(Table13[[#This Row],[Qty]]="","", IF(Table13[[#This Row],[Qty]]&gt;0,Table13[[#This Row],[Qty]]))</f>
        <v/>
      </c>
      <c r="K166" s="17">
        <v>46.9</v>
      </c>
      <c r="L166" s="37"/>
      <c r="M166" s="37"/>
      <c r="N166" s="17">
        <f>Table13[[#This Row],[Qty]]*Table13[[#This Row],[Weight / unit]]</f>
        <v>0</v>
      </c>
    </row>
    <row r="167" spans="1:14" s="9" customFormat="1" ht="20" customHeight="1" x14ac:dyDescent="0.35">
      <c r="A167" s="65" t="s">
        <v>242</v>
      </c>
      <c r="B167" s="66"/>
      <c r="C167" s="62"/>
      <c r="D167" s="84">
        <v>0.82</v>
      </c>
      <c r="E167" s="162"/>
      <c r="F167" s="55" t="s">
        <v>92</v>
      </c>
      <c r="G167" s="85">
        <f t="shared" ref="G167:G175" si="37">E167*D167</f>
        <v>0</v>
      </c>
      <c r="H167" s="57"/>
      <c r="I167" s="17"/>
      <c r="J167" s="17" t="str">
        <f>IF(Table13[[#This Row],[Qty]]="","", IF(Table13[[#This Row],[Qty]]&gt;0,Table13[[#This Row],[Qty]]))</f>
        <v/>
      </c>
      <c r="K167" s="17">
        <v>49.8</v>
      </c>
      <c r="L167" s="37"/>
      <c r="M167" s="37"/>
      <c r="N167" s="17">
        <f>Table13[[#This Row],[Qty]]*Table13[[#This Row],[Weight / unit]]</f>
        <v>0</v>
      </c>
    </row>
    <row r="168" spans="1:14" s="9" customFormat="1" ht="20" customHeight="1" x14ac:dyDescent="0.35">
      <c r="A168" s="65" t="s">
        <v>293</v>
      </c>
      <c r="B168" s="66"/>
      <c r="C168" s="62"/>
      <c r="D168" s="84">
        <v>1.03</v>
      </c>
      <c r="E168" s="162"/>
      <c r="F168" s="55" t="s">
        <v>92</v>
      </c>
      <c r="G168" s="85">
        <f t="shared" si="37"/>
        <v>0</v>
      </c>
      <c r="H168" s="57"/>
      <c r="I168" s="17"/>
      <c r="J168" s="17" t="str">
        <f>IF(Table13[[#This Row],[Qty]]="","", IF(Table13[[#This Row],[Qty]]&gt;0,Table13[[#This Row],[Qty]]))</f>
        <v/>
      </c>
      <c r="K168" s="17">
        <v>52.8</v>
      </c>
      <c r="L168" s="37"/>
      <c r="M168" s="37"/>
      <c r="N168" s="17">
        <f>Table13[[#This Row],[Qty]]*Table13[[#This Row],[Weight / unit]]</f>
        <v>0</v>
      </c>
    </row>
    <row r="169" spans="1:14" s="9" customFormat="1" ht="20" customHeight="1" x14ac:dyDescent="0.35">
      <c r="A169" s="65" t="s">
        <v>294</v>
      </c>
      <c r="B169" s="66"/>
      <c r="C169" s="62"/>
      <c r="D169" s="84">
        <v>1.24</v>
      </c>
      <c r="E169" s="162"/>
      <c r="F169" s="55" t="s">
        <v>92</v>
      </c>
      <c r="G169" s="85">
        <f t="shared" si="37"/>
        <v>0</v>
      </c>
      <c r="H169" s="57"/>
      <c r="I169" s="17"/>
      <c r="J169" s="17" t="str">
        <f>IF(Table13[[#This Row],[Qty]]="","", IF(Table13[[#This Row],[Qty]]&gt;0,Table13[[#This Row],[Qty]]))</f>
        <v/>
      </c>
      <c r="K169" s="17">
        <v>55.6</v>
      </c>
      <c r="L169" s="37"/>
      <c r="M169" s="37"/>
      <c r="N169" s="17">
        <f>Table13[[#This Row],[Qty]]*Table13[[#This Row],[Weight / unit]]</f>
        <v>0</v>
      </c>
    </row>
    <row r="170" spans="1:14" s="9" customFormat="1" ht="20" customHeight="1" x14ac:dyDescent="0.35">
      <c r="A170" s="65" t="s">
        <v>295</v>
      </c>
      <c r="B170" s="66"/>
      <c r="C170" s="62"/>
      <c r="D170" s="84">
        <v>1.32</v>
      </c>
      <c r="E170" s="162"/>
      <c r="F170" s="55" t="s">
        <v>92</v>
      </c>
      <c r="G170" s="85">
        <f t="shared" si="37"/>
        <v>0</v>
      </c>
      <c r="H170" s="57"/>
      <c r="I170" s="17"/>
      <c r="J170" s="17" t="str">
        <f>IF(Table13[[#This Row],[Qty]]="","", IF(Table13[[#This Row],[Qty]]&gt;0,Table13[[#This Row],[Qty]]))</f>
        <v/>
      </c>
      <c r="K170" s="17">
        <v>62</v>
      </c>
      <c r="L170" s="37"/>
      <c r="M170" s="37"/>
      <c r="N170" s="17">
        <f>Table13[[#This Row],[Qty]]*Table13[[#This Row],[Weight / unit]]</f>
        <v>0</v>
      </c>
    </row>
    <row r="171" spans="1:14" s="9" customFormat="1" ht="20" customHeight="1" x14ac:dyDescent="0.35">
      <c r="A171" s="65" t="s">
        <v>296</v>
      </c>
      <c r="B171" s="66"/>
      <c r="C171" s="62"/>
      <c r="D171" s="84">
        <v>1.39</v>
      </c>
      <c r="E171" s="162"/>
      <c r="F171" s="55" t="s">
        <v>92</v>
      </c>
      <c r="G171" s="85">
        <f t="shared" si="37"/>
        <v>0</v>
      </c>
      <c r="H171" s="57"/>
      <c r="I171" s="17"/>
      <c r="J171" s="17" t="str">
        <f>IF(Table13[[#This Row],[Qty]]="","", IF(Table13[[#This Row],[Qty]]&gt;0,Table13[[#This Row],[Qty]]))</f>
        <v/>
      </c>
      <c r="K171" s="17">
        <v>68</v>
      </c>
      <c r="L171" s="37"/>
      <c r="M171" s="37"/>
      <c r="N171" s="17">
        <f>Table13[[#This Row],[Qty]]*Table13[[#This Row],[Weight / unit]]</f>
        <v>0</v>
      </c>
    </row>
    <row r="172" spans="1:14" s="9" customFormat="1" ht="20" customHeight="1" x14ac:dyDescent="0.35">
      <c r="A172" s="65" t="s">
        <v>307</v>
      </c>
      <c r="B172" s="66"/>
      <c r="C172" s="62"/>
      <c r="D172" s="84">
        <v>2.0299999999999998</v>
      </c>
      <c r="E172" s="162"/>
      <c r="F172" s="55" t="s">
        <v>92</v>
      </c>
      <c r="G172" s="85">
        <f t="shared" si="37"/>
        <v>0</v>
      </c>
      <c r="H172" s="57"/>
      <c r="I172" s="17"/>
      <c r="J172" s="17" t="str">
        <f>IF(Table13[[#This Row],[Qty]]="","", IF(Table13[[#This Row],[Qty]]&gt;0,Table13[[#This Row],[Qty]]))</f>
        <v/>
      </c>
      <c r="K172" s="17">
        <v>74</v>
      </c>
      <c r="L172" s="37"/>
      <c r="M172" s="37"/>
      <c r="N172" s="17">
        <f>Table13[[#This Row],[Qty]]*Table13[[#This Row],[Weight / unit]]</f>
        <v>0</v>
      </c>
    </row>
    <row r="173" spans="1:14" s="9" customFormat="1" ht="20" customHeight="1" x14ac:dyDescent="0.35">
      <c r="A173" s="65" t="s">
        <v>297</v>
      </c>
      <c r="B173" s="66"/>
      <c r="C173" s="62"/>
      <c r="D173" s="84">
        <v>2.2000000000000002</v>
      </c>
      <c r="E173" s="162"/>
      <c r="F173" s="55" t="s">
        <v>92</v>
      </c>
      <c r="G173" s="85">
        <f t="shared" si="37"/>
        <v>0</v>
      </c>
      <c r="H173" s="57"/>
      <c r="I173" s="17"/>
      <c r="J173" s="17" t="str">
        <f>IF(Table13[[#This Row],[Qty]]="","", IF(Table13[[#This Row],[Qty]]&gt;0,Table13[[#This Row],[Qty]]))</f>
        <v/>
      </c>
      <c r="K173" s="17">
        <v>80</v>
      </c>
      <c r="L173" s="37"/>
      <c r="M173" s="37"/>
      <c r="N173" s="17">
        <f>Table13[[#This Row],[Qty]]*Table13[[#This Row],[Weight / unit]]</f>
        <v>0</v>
      </c>
    </row>
    <row r="174" spans="1:14" s="9" customFormat="1" ht="20" customHeight="1" x14ac:dyDescent="0.35">
      <c r="A174" s="65" t="s">
        <v>308</v>
      </c>
      <c r="B174" s="66"/>
      <c r="C174" s="62"/>
      <c r="D174" s="84">
        <v>4.25</v>
      </c>
      <c r="E174" s="162"/>
      <c r="F174" s="55" t="s">
        <v>92</v>
      </c>
      <c r="G174" s="85">
        <f t="shared" si="37"/>
        <v>0</v>
      </c>
      <c r="H174" s="57"/>
      <c r="I174" s="17"/>
      <c r="J174" s="17" t="str">
        <f>IF(Table13[[#This Row],[Qty]]="","", IF(Table13[[#This Row],[Qty]]&gt;0,Table13[[#This Row],[Qty]]))</f>
        <v/>
      </c>
      <c r="K174" s="17">
        <v>92</v>
      </c>
      <c r="L174" s="37"/>
      <c r="M174" s="37"/>
      <c r="N174" s="17">
        <f>Table13[[#This Row],[Qty]]*Table13[[#This Row],[Weight / unit]]</f>
        <v>0</v>
      </c>
    </row>
    <row r="175" spans="1:14" s="9" customFormat="1" ht="20" customHeight="1" x14ac:dyDescent="0.35">
      <c r="A175" s="65" t="s">
        <v>309</v>
      </c>
      <c r="B175" s="66"/>
      <c r="C175" s="62"/>
      <c r="D175" s="84">
        <v>6.23</v>
      </c>
      <c r="E175" s="162"/>
      <c r="F175" s="55" t="s">
        <v>92</v>
      </c>
      <c r="G175" s="85">
        <f t="shared" si="37"/>
        <v>0</v>
      </c>
      <c r="H175" s="57"/>
      <c r="I175" s="17"/>
      <c r="J175" s="17" t="str">
        <f>IF(Table13[[#This Row],[Qty]]="","", IF(Table13[[#This Row],[Qty]]&gt;0,Table13[[#This Row],[Qty]]))</f>
        <v/>
      </c>
      <c r="K175" s="17">
        <v>104</v>
      </c>
      <c r="L175" s="37"/>
      <c r="M175" s="37"/>
      <c r="N175" s="17">
        <f>Table13[[#This Row],[Qty]]*Table13[[#This Row],[Weight / unit]]</f>
        <v>0</v>
      </c>
    </row>
    <row r="176" spans="1:14" s="9" customFormat="1" ht="20" customHeight="1" x14ac:dyDescent="0.35">
      <c r="A176" s="90" t="s">
        <v>285</v>
      </c>
      <c r="B176" s="91"/>
      <c r="C176" s="92"/>
      <c r="D176" s="93"/>
      <c r="E176" s="91"/>
      <c r="F176" s="94"/>
      <c r="G176" s="95" t="str">
        <f>IF(SUM(G177:G189)=0,"",SUM(G177:G189))</f>
        <v/>
      </c>
      <c r="H176" s="95"/>
      <c r="I176" s="95"/>
      <c r="J176" s="95"/>
      <c r="K176" s="95"/>
      <c r="L176" s="96"/>
      <c r="M176" s="95"/>
      <c r="N176" s="95"/>
    </row>
    <row r="177" spans="1:14" s="9" customFormat="1" ht="20" customHeight="1" x14ac:dyDescent="0.35">
      <c r="A177" s="65" t="s">
        <v>281</v>
      </c>
      <c r="B177" s="66"/>
      <c r="C177" s="62"/>
      <c r="D177" s="84">
        <f>Table13[[#This Row],[Total]]</f>
        <v>0</v>
      </c>
      <c r="E177" s="162"/>
      <c r="F177" s="163" t="s">
        <v>94</v>
      </c>
      <c r="G177" s="85">
        <f>IF(Table13[[#This Row],[Qty]]="Yes",Table13[[#This Row],['#bolts ordered]]*1.5,0)</f>
        <v>0</v>
      </c>
      <c r="H177" s="57">
        <f>SUM(H18:H97)</f>
        <v>0</v>
      </c>
      <c r="I177" s="17"/>
      <c r="J177" s="17">
        <f>IF(Table13[[#This Row],[Qty]]="Yes", SUM(J18:J97),0)</f>
        <v>0</v>
      </c>
      <c r="K177" s="17">
        <v>38</v>
      </c>
      <c r="L177" s="37"/>
      <c r="M177" s="17"/>
      <c r="N177" s="17">
        <f>IF(Table13[[#This Row],[Qty]]="Yes",Table13[[#This Row],['#bolts ordered]]*Table13[[#This Row],[Weight / unit]],0)</f>
        <v>0</v>
      </c>
    </row>
    <row r="178" spans="1:14" s="9" customFormat="1" ht="20" customHeight="1" x14ac:dyDescent="0.35">
      <c r="A178" s="65" t="s">
        <v>236</v>
      </c>
      <c r="B178" s="69" t="s">
        <v>183</v>
      </c>
      <c r="C178" s="97"/>
      <c r="D178" s="84">
        <v>1.1399999999999999</v>
      </c>
      <c r="E178" s="164"/>
      <c r="F178" s="87" t="s">
        <v>92</v>
      </c>
      <c r="G178" s="88">
        <f t="shared" ref="G178:G189" si="38">E178*D178</f>
        <v>0</v>
      </c>
      <c r="H178" s="17"/>
      <c r="I178" s="17"/>
      <c r="J178" s="17" t="str">
        <f>IF(Table13[[#This Row],[Qty]]="","", IF(Table13[[#This Row],[Qty]]&gt;0,Table13[[#This Row],[Qty]]))</f>
        <v/>
      </c>
      <c r="K178" s="17">
        <v>32</v>
      </c>
      <c r="L178" s="37"/>
      <c r="M178" s="17"/>
      <c r="N178" s="17">
        <f>Table13[[#This Row],[Qty]]*Table13[[#This Row],[Weight / unit]]</f>
        <v>0</v>
      </c>
    </row>
    <row r="179" spans="1:14" s="9" customFormat="1" ht="20" customHeight="1" x14ac:dyDescent="0.35">
      <c r="A179" s="65" t="s">
        <v>237</v>
      </c>
      <c r="B179" s="69" t="s">
        <v>183</v>
      </c>
      <c r="C179" s="97"/>
      <c r="D179" s="84">
        <v>1.23</v>
      </c>
      <c r="E179" s="164"/>
      <c r="F179" s="87" t="s">
        <v>92</v>
      </c>
      <c r="G179" s="88">
        <f t="shared" si="38"/>
        <v>0</v>
      </c>
      <c r="H179" s="17"/>
      <c r="I179" s="17"/>
      <c r="J179" s="17" t="str">
        <f>IF(Table13[[#This Row],[Qty]]="","", IF(Table13[[#This Row],[Qty]]&gt;0,Table13[[#This Row],[Qty]]))</f>
        <v/>
      </c>
      <c r="K179" s="17">
        <v>36</v>
      </c>
      <c r="L179" s="37"/>
      <c r="M179" s="17"/>
      <c r="N179" s="17">
        <f>Table13[[#This Row],[Qty]]*Table13[[#This Row],[Weight / unit]]</f>
        <v>0</v>
      </c>
    </row>
    <row r="180" spans="1:14" s="9" customFormat="1" ht="20" customHeight="1" x14ac:dyDescent="0.35">
      <c r="A180" s="65" t="s">
        <v>238</v>
      </c>
      <c r="B180" s="69" t="s">
        <v>183</v>
      </c>
      <c r="C180" s="97"/>
      <c r="D180" s="84">
        <v>1.31</v>
      </c>
      <c r="E180" s="164"/>
      <c r="F180" s="87" t="s">
        <v>92</v>
      </c>
      <c r="G180" s="88">
        <f t="shared" si="38"/>
        <v>0</v>
      </c>
      <c r="H180" s="17"/>
      <c r="I180" s="17"/>
      <c r="J180" s="17" t="str">
        <f>IF(Table13[[#This Row],[Qty]]="","", IF(Table13[[#This Row],[Qty]]&gt;0,Table13[[#This Row],[Qty]]))</f>
        <v/>
      </c>
      <c r="K180" s="17">
        <v>38</v>
      </c>
      <c r="L180" s="37"/>
      <c r="M180" s="17"/>
      <c r="N180" s="17">
        <f>Table13[[#This Row],[Qty]]*Table13[[#This Row],[Weight / unit]]</f>
        <v>0</v>
      </c>
    </row>
    <row r="181" spans="1:14" s="9" customFormat="1" ht="20" customHeight="1" x14ac:dyDescent="0.35">
      <c r="A181" s="65" t="s">
        <v>239</v>
      </c>
      <c r="B181" s="69" t="s">
        <v>183</v>
      </c>
      <c r="C181" s="97"/>
      <c r="D181" s="84">
        <v>1.53</v>
      </c>
      <c r="E181" s="164"/>
      <c r="F181" s="87" t="s">
        <v>92</v>
      </c>
      <c r="G181" s="88">
        <f t="shared" si="38"/>
        <v>0</v>
      </c>
      <c r="H181" s="17"/>
      <c r="I181" s="17"/>
      <c r="J181" s="17" t="str">
        <f>IF(Table13[[#This Row],[Qty]]="","", IF(Table13[[#This Row],[Qty]]&gt;0,Table13[[#This Row],[Qty]]))</f>
        <v/>
      </c>
      <c r="K181" s="17">
        <v>42</v>
      </c>
      <c r="L181" s="37"/>
      <c r="M181" s="17"/>
      <c r="N181" s="17">
        <f>Table13[[#This Row],[Qty]]*Table13[[#This Row],[Weight / unit]]</f>
        <v>0</v>
      </c>
    </row>
    <row r="182" spans="1:14" s="9" customFormat="1" ht="20" customHeight="1" x14ac:dyDescent="0.35">
      <c r="A182" s="65" t="s">
        <v>240</v>
      </c>
      <c r="B182" s="69" t="s">
        <v>183</v>
      </c>
      <c r="C182" s="97"/>
      <c r="D182" s="84">
        <v>1.56</v>
      </c>
      <c r="E182" s="164"/>
      <c r="F182" s="87" t="s">
        <v>92</v>
      </c>
      <c r="G182" s="88">
        <f t="shared" si="38"/>
        <v>0</v>
      </c>
      <c r="H182" s="17"/>
      <c r="I182" s="17"/>
      <c r="J182" s="17" t="str">
        <f>IF(Table13[[#This Row],[Qty]]="","", IF(Table13[[#This Row],[Qty]]&gt;0,Table13[[#This Row],[Qty]]))</f>
        <v/>
      </c>
      <c r="K182" s="17">
        <v>44</v>
      </c>
      <c r="L182" s="37"/>
      <c r="M182" s="17"/>
      <c r="N182" s="17">
        <f>Table13[[#This Row],[Qty]]*Table13[[#This Row],[Weight / unit]]</f>
        <v>0</v>
      </c>
    </row>
    <row r="183" spans="1:14" s="9" customFormat="1" ht="20" customHeight="1" x14ac:dyDescent="0.35">
      <c r="A183" s="65" t="s">
        <v>241</v>
      </c>
      <c r="B183" s="69" t="s">
        <v>183</v>
      </c>
      <c r="C183" s="97"/>
      <c r="D183" s="84">
        <v>1.57</v>
      </c>
      <c r="E183" s="164"/>
      <c r="F183" s="87" t="s">
        <v>92</v>
      </c>
      <c r="G183" s="88">
        <f t="shared" si="38"/>
        <v>0</v>
      </c>
      <c r="H183" s="17"/>
      <c r="I183" s="17"/>
      <c r="J183" s="17" t="str">
        <f>IF(Table13[[#This Row],[Qty]]="","", IF(Table13[[#This Row],[Qty]]&gt;0,Table13[[#This Row],[Qty]]))</f>
        <v/>
      </c>
      <c r="K183" s="17">
        <v>47</v>
      </c>
      <c r="L183" s="37"/>
      <c r="M183" s="17"/>
      <c r="N183" s="17">
        <f>Table13[[#This Row],[Qty]]*Table13[[#This Row],[Weight / unit]]</f>
        <v>0</v>
      </c>
    </row>
    <row r="184" spans="1:14" s="9" customFormat="1" ht="20" customHeight="1" x14ac:dyDescent="0.35">
      <c r="A184" s="65" t="s">
        <v>242</v>
      </c>
      <c r="B184" s="69" t="s">
        <v>183</v>
      </c>
      <c r="C184" s="97"/>
      <c r="D184" s="84">
        <v>1.88</v>
      </c>
      <c r="E184" s="164"/>
      <c r="F184" s="87" t="s">
        <v>92</v>
      </c>
      <c r="G184" s="88">
        <f t="shared" si="38"/>
        <v>0</v>
      </c>
      <c r="H184" s="17"/>
      <c r="I184" s="17"/>
      <c r="J184" s="17" t="str">
        <f>IF(Table13[[#This Row],[Qty]]="","", IF(Table13[[#This Row],[Qty]]&gt;0,Table13[[#This Row],[Qty]]))</f>
        <v/>
      </c>
      <c r="K184" s="17">
        <v>50</v>
      </c>
      <c r="L184" s="37"/>
      <c r="M184" s="17"/>
      <c r="N184" s="17">
        <f>Table13[[#This Row],[Qty]]*Table13[[#This Row],[Weight / unit]]</f>
        <v>0</v>
      </c>
    </row>
    <row r="185" spans="1:14" s="9" customFormat="1" ht="20" customHeight="1" x14ac:dyDescent="0.35">
      <c r="A185" s="65" t="s">
        <v>243</v>
      </c>
      <c r="B185" s="69" t="s">
        <v>183</v>
      </c>
      <c r="C185" s="97"/>
      <c r="D185" s="84">
        <v>2.1</v>
      </c>
      <c r="E185" s="164"/>
      <c r="F185" s="87" t="s">
        <v>92</v>
      </c>
      <c r="G185" s="88">
        <f t="shared" si="38"/>
        <v>0</v>
      </c>
      <c r="H185" s="17"/>
      <c r="I185" s="17"/>
      <c r="J185" s="17" t="str">
        <f>IF(Table13[[#This Row],[Qty]]="","", IF(Table13[[#This Row],[Qty]]&gt;0,Table13[[#This Row],[Qty]]))</f>
        <v/>
      </c>
      <c r="K185" s="17">
        <v>53</v>
      </c>
      <c r="L185" s="37"/>
      <c r="M185" s="17"/>
      <c r="N185" s="17">
        <f>Table13[[#This Row],[Qty]]*Table13[[#This Row],[Weight / unit]]</f>
        <v>0</v>
      </c>
    </row>
    <row r="186" spans="1:14" s="9" customFormat="1" ht="20" customHeight="1" x14ac:dyDescent="0.35">
      <c r="A186" s="65" t="s">
        <v>244</v>
      </c>
      <c r="B186" s="69" t="s">
        <v>183</v>
      </c>
      <c r="C186" s="97"/>
      <c r="D186" s="84">
        <v>2.27</v>
      </c>
      <c r="E186" s="164"/>
      <c r="F186" s="87" t="s">
        <v>92</v>
      </c>
      <c r="G186" s="88">
        <f t="shared" si="38"/>
        <v>0</v>
      </c>
      <c r="H186" s="17"/>
      <c r="I186" s="17"/>
      <c r="J186" s="17" t="str">
        <f>IF(Table13[[#This Row],[Qty]]="","", IF(Table13[[#This Row],[Qty]]&gt;0,Table13[[#This Row],[Qty]]))</f>
        <v/>
      </c>
      <c r="K186" s="17">
        <v>57</v>
      </c>
      <c r="L186" s="37"/>
      <c r="M186" s="17"/>
      <c r="N186" s="17">
        <f>Table13[[#This Row],[Qty]]*Table13[[#This Row],[Weight / unit]]</f>
        <v>0</v>
      </c>
    </row>
    <row r="187" spans="1:14" s="9" customFormat="1" ht="20" customHeight="1" x14ac:dyDescent="0.35">
      <c r="A187" s="65" t="s">
        <v>245</v>
      </c>
      <c r="B187" s="69" t="s">
        <v>183</v>
      </c>
      <c r="C187" s="97"/>
      <c r="D187" s="84">
        <v>2.56</v>
      </c>
      <c r="E187" s="164"/>
      <c r="F187" s="87" t="s">
        <v>92</v>
      </c>
      <c r="G187" s="88">
        <f t="shared" si="38"/>
        <v>0</v>
      </c>
      <c r="H187" s="17"/>
      <c r="I187" s="17"/>
      <c r="J187" s="17" t="str">
        <f>IF(Table13[[#This Row],[Qty]]="","", IF(Table13[[#This Row],[Qty]]&gt;0,Table13[[#This Row],[Qty]]))</f>
        <v/>
      </c>
      <c r="K187" s="17">
        <v>68</v>
      </c>
      <c r="L187" s="37"/>
      <c r="M187" s="17"/>
      <c r="N187" s="17">
        <f>Table13[[#This Row],[Qty]]*Table13[[#This Row],[Weight / unit]]</f>
        <v>0</v>
      </c>
    </row>
    <row r="188" spans="1:14" s="9" customFormat="1" ht="20" customHeight="1" x14ac:dyDescent="0.35">
      <c r="A188" s="65" t="s">
        <v>246</v>
      </c>
      <c r="B188" s="69" t="s">
        <v>183</v>
      </c>
      <c r="C188" s="97"/>
      <c r="D188" s="84">
        <v>2.84</v>
      </c>
      <c r="E188" s="164"/>
      <c r="F188" s="87" t="s">
        <v>92</v>
      </c>
      <c r="G188" s="88">
        <f t="shared" si="38"/>
        <v>0</v>
      </c>
      <c r="H188" s="17"/>
      <c r="I188" s="17"/>
      <c r="J188" s="17" t="str">
        <f>IF(Table13[[#This Row],[Qty]]="","", IF(Table13[[#This Row],[Qty]]&gt;0,Table13[[#This Row],[Qty]]))</f>
        <v/>
      </c>
      <c r="K188" s="17">
        <v>74</v>
      </c>
      <c r="L188" s="37"/>
      <c r="M188" s="17"/>
      <c r="N188" s="17">
        <f>Table13[[#This Row],[Qty]]*Table13[[#This Row],[Weight / unit]]</f>
        <v>0</v>
      </c>
    </row>
    <row r="189" spans="1:14" s="9" customFormat="1" ht="20" customHeight="1" x14ac:dyDescent="0.35">
      <c r="A189" s="65" t="s">
        <v>247</v>
      </c>
      <c r="B189" s="69" t="s">
        <v>183</v>
      </c>
      <c r="C189" s="97"/>
      <c r="D189" s="84">
        <v>3.06</v>
      </c>
      <c r="E189" s="164"/>
      <c r="F189" s="87" t="s">
        <v>92</v>
      </c>
      <c r="G189" s="88">
        <f t="shared" si="38"/>
        <v>0</v>
      </c>
      <c r="H189" s="17"/>
      <c r="I189" s="17"/>
      <c r="J189" s="17" t="str">
        <f>IF(Table13[[#This Row],[Qty]]="","", IF(Table13[[#This Row],[Qty]]&gt;0,Table13[[#This Row],[Qty]]))</f>
        <v/>
      </c>
      <c r="K189" s="17">
        <v>80</v>
      </c>
      <c r="L189" s="37"/>
      <c r="M189" s="17"/>
      <c r="N189" s="17">
        <f>Table13[[#This Row],[Qty]]*Table13[[#This Row],[Weight / unit]]</f>
        <v>0</v>
      </c>
    </row>
    <row r="190" spans="1:14" s="9" customFormat="1" ht="20" customHeight="1" x14ac:dyDescent="0.35">
      <c r="A190" s="98" t="s">
        <v>282</v>
      </c>
      <c r="B190" s="99"/>
      <c r="C190" s="100"/>
      <c r="D190" s="101"/>
      <c r="E190" s="99"/>
      <c r="F190" s="102"/>
      <c r="G190" s="103" t="str">
        <f>IF(SUM(G191:G202)=0,"",SUM(G191:G202))</f>
        <v/>
      </c>
      <c r="H190" s="103"/>
      <c r="I190" s="103"/>
      <c r="J190" s="103"/>
      <c r="K190" s="103"/>
      <c r="L190" s="104"/>
      <c r="M190" s="103"/>
      <c r="N190" s="103"/>
    </row>
    <row r="191" spans="1:14" s="9" customFormat="1" ht="20" customHeight="1" x14ac:dyDescent="0.35">
      <c r="A191" s="105" t="s">
        <v>197</v>
      </c>
      <c r="B191" s="106"/>
      <c r="C191" s="107"/>
      <c r="D191" s="84">
        <f>Table13[[#This Row],[Total]]</f>
        <v>0</v>
      </c>
      <c r="E191" s="162"/>
      <c r="F191" s="163" t="s">
        <v>94</v>
      </c>
      <c r="G191" s="85">
        <f>IF(Table13[[#This Row],[Qty]]="Yes",Table13[[#This Row],['#screws ordered]]*0.2,0)</f>
        <v>0</v>
      </c>
      <c r="H191" s="57"/>
      <c r="I191" s="17"/>
      <c r="J191" s="17"/>
      <c r="K191" s="108">
        <v>4</v>
      </c>
      <c r="L191" s="37"/>
      <c r="M191" s="17">
        <f>IF(Table13[[#This Row],[Qty]]="Yes", SUM(M18:M97),0)</f>
        <v>0</v>
      </c>
      <c r="N191" s="17">
        <f>IF(Table13[[#This Row],[Qty]]="Yes",Table13[[#This Row],['#screws ordered]]*Table13[[#This Row],[Weight / unit]],0)</f>
        <v>0</v>
      </c>
    </row>
    <row r="192" spans="1:14" s="9" customFormat="1" ht="20" customHeight="1" x14ac:dyDescent="0.35">
      <c r="A192" s="105" t="s">
        <v>258</v>
      </c>
      <c r="B192" s="106" t="s">
        <v>219</v>
      </c>
      <c r="C192" s="109"/>
      <c r="D192" s="84">
        <f>D197/500</f>
        <v>7.1499999999999994E-2</v>
      </c>
      <c r="E192" s="165"/>
      <c r="F192" s="110" t="s">
        <v>92</v>
      </c>
      <c r="G192" s="111">
        <f>E192*D192</f>
        <v>0</v>
      </c>
      <c r="H192" s="112"/>
      <c r="I192" s="108"/>
      <c r="J192" s="37" t="s">
        <v>218</v>
      </c>
      <c r="K192" s="108">
        <f>174/100</f>
        <v>1.74</v>
      </c>
      <c r="L192" s="37"/>
      <c r="M192" s="17"/>
      <c r="N192" s="17">
        <f>Table13[[#This Row],[Qty]]*Table13[[#This Row],[Weight / unit]]</f>
        <v>0</v>
      </c>
    </row>
    <row r="193" spans="1:14" s="9" customFormat="1" ht="20" customHeight="1" x14ac:dyDescent="0.35">
      <c r="A193" s="105" t="s">
        <v>259</v>
      </c>
      <c r="B193" s="106" t="s">
        <v>220</v>
      </c>
      <c r="C193" s="113"/>
      <c r="D193" s="84">
        <f>D198/500</f>
        <v>0.16200000000000001</v>
      </c>
      <c r="E193" s="165"/>
      <c r="F193" s="110" t="s">
        <v>92</v>
      </c>
      <c r="G193" s="111">
        <f t="shared" ref="G193:G202" si="39">E193*D193</f>
        <v>0</v>
      </c>
      <c r="H193" s="112"/>
      <c r="I193" s="108"/>
      <c r="J193" s="37" t="s">
        <v>218</v>
      </c>
      <c r="K193" s="108">
        <f>310/100</f>
        <v>3.1</v>
      </c>
      <c r="L193" s="37"/>
      <c r="M193" s="17"/>
      <c r="N193" s="17">
        <f>Table13[[#This Row],[Qty]]*Table13[[#This Row],[Weight / unit]]</f>
        <v>0</v>
      </c>
    </row>
    <row r="194" spans="1:14" s="9" customFormat="1" ht="20" customHeight="1" x14ac:dyDescent="0.35">
      <c r="A194" s="105" t="s">
        <v>260</v>
      </c>
      <c r="B194" s="106" t="s">
        <v>221</v>
      </c>
      <c r="C194" s="109"/>
      <c r="D194" s="84">
        <f>D199/250</f>
        <v>0.215</v>
      </c>
      <c r="E194" s="165"/>
      <c r="F194" s="110" t="s">
        <v>92</v>
      </c>
      <c r="G194" s="111">
        <f t="shared" si="39"/>
        <v>0</v>
      </c>
      <c r="H194" s="112"/>
      <c r="I194" s="108"/>
      <c r="J194" s="37" t="s">
        <v>218</v>
      </c>
      <c r="K194" s="108">
        <f>410/100</f>
        <v>4.0999999999999996</v>
      </c>
      <c r="L194" s="37"/>
      <c r="M194" s="17"/>
      <c r="N194" s="17">
        <f>Table13[[#This Row],[Qty]]*Table13[[#This Row],[Weight / unit]]</f>
        <v>0</v>
      </c>
    </row>
    <row r="195" spans="1:14" s="9" customFormat="1" ht="20" customHeight="1" x14ac:dyDescent="0.35">
      <c r="A195" s="105" t="s">
        <v>261</v>
      </c>
      <c r="B195" s="106" t="s">
        <v>222</v>
      </c>
      <c r="C195" s="113"/>
      <c r="D195" s="84">
        <f>D200/200</f>
        <v>0.377</v>
      </c>
      <c r="E195" s="165"/>
      <c r="F195" s="110" t="s">
        <v>92</v>
      </c>
      <c r="G195" s="111">
        <f t="shared" si="39"/>
        <v>0</v>
      </c>
      <c r="H195" s="112"/>
      <c r="I195" s="108"/>
      <c r="J195" s="37" t="s">
        <v>218</v>
      </c>
      <c r="K195" s="108">
        <f>1076/2/100</f>
        <v>5.38</v>
      </c>
      <c r="L195" s="37"/>
      <c r="M195" s="17"/>
      <c r="N195" s="17">
        <f>Table13[[#This Row],[Qty]]*Table13[[#This Row],[Weight / unit]]</f>
        <v>0</v>
      </c>
    </row>
    <row r="196" spans="1:14" s="9" customFormat="1" ht="20" customHeight="1" x14ac:dyDescent="0.35">
      <c r="A196" s="105" t="s">
        <v>262</v>
      </c>
      <c r="B196" s="106" t="s">
        <v>223</v>
      </c>
      <c r="C196" s="109"/>
      <c r="D196" s="84">
        <f>D201/100</f>
        <v>0.41799999999999998</v>
      </c>
      <c r="E196" s="165"/>
      <c r="F196" s="110" t="s">
        <v>92</v>
      </c>
      <c r="G196" s="111">
        <f t="shared" si="39"/>
        <v>0</v>
      </c>
      <c r="H196" s="112"/>
      <c r="I196" s="108"/>
      <c r="J196" s="37" t="s">
        <v>218</v>
      </c>
      <c r="K196" s="108">
        <f>665/100</f>
        <v>6.65</v>
      </c>
      <c r="L196" s="37" t="s">
        <v>207</v>
      </c>
      <c r="M196" s="17"/>
      <c r="N196" s="17">
        <f>Table13[[#This Row],[Qty]]*Table13[[#This Row],[Weight / unit]]</f>
        <v>0</v>
      </c>
    </row>
    <row r="197" spans="1:14" s="9" customFormat="1" ht="20" customHeight="1" x14ac:dyDescent="0.35">
      <c r="A197" s="105" t="s">
        <v>263</v>
      </c>
      <c r="B197" s="106" t="s">
        <v>219</v>
      </c>
      <c r="C197" s="113"/>
      <c r="D197" s="84">
        <v>35.75</v>
      </c>
      <c r="E197" s="165"/>
      <c r="F197" s="110" t="s">
        <v>213</v>
      </c>
      <c r="G197" s="111">
        <f t="shared" ref="G197:G201" si="40">E197*D197</f>
        <v>0</v>
      </c>
      <c r="H197" s="112" t="s">
        <v>217</v>
      </c>
      <c r="I197" s="108">
        <v>51</v>
      </c>
      <c r="J197" s="37" t="s">
        <v>276</v>
      </c>
      <c r="K197" s="108">
        <f>174*5+Table13[[#This Row],['#bolts per set]]</f>
        <v>921</v>
      </c>
      <c r="L197" s="37"/>
      <c r="M197" s="17"/>
      <c r="N197" s="17">
        <f>Table13[[#This Row],[Qty]]*Table13[[#This Row],[Weight / unit]]</f>
        <v>0</v>
      </c>
    </row>
    <row r="198" spans="1:14" s="9" customFormat="1" ht="20" customHeight="1" x14ac:dyDescent="0.35">
      <c r="A198" s="105" t="s">
        <v>264</v>
      </c>
      <c r="B198" s="106" t="s">
        <v>220</v>
      </c>
      <c r="C198" s="109"/>
      <c r="D198" s="84">
        <v>81</v>
      </c>
      <c r="E198" s="165"/>
      <c r="F198" s="110" t="s">
        <v>213</v>
      </c>
      <c r="G198" s="111">
        <f t="shared" si="40"/>
        <v>0</v>
      </c>
      <c r="H198" s="112" t="s">
        <v>217</v>
      </c>
      <c r="I198" s="108">
        <v>84</v>
      </c>
      <c r="J198" s="37" t="s">
        <v>276</v>
      </c>
      <c r="K198" s="108">
        <f>174*5+Table13[[#This Row],['#bolts per set]]</f>
        <v>954</v>
      </c>
      <c r="L198" s="37"/>
      <c r="M198" s="17"/>
      <c r="N198" s="17">
        <f>Table13[[#This Row],[Qty]]*Table13[[#This Row],[Weight / unit]]</f>
        <v>0</v>
      </c>
    </row>
    <row r="199" spans="1:14" s="9" customFormat="1" ht="20" customHeight="1" x14ac:dyDescent="0.35">
      <c r="A199" s="105" t="s">
        <v>265</v>
      </c>
      <c r="B199" s="106" t="s">
        <v>221</v>
      </c>
      <c r="C199" s="113"/>
      <c r="D199" s="84">
        <v>53.75</v>
      </c>
      <c r="E199" s="165"/>
      <c r="F199" s="110" t="s">
        <v>214</v>
      </c>
      <c r="G199" s="111">
        <f t="shared" si="40"/>
        <v>0</v>
      </c>
      <c r="H199" s="112" t="s">
        <v>217</v>
      </c>
      <c r="I199" s="108">
        <v>74</v>
      </c>
      <c r="J199" s="37" t="s">
        <v>276</v>
      </c>
      <c r="K199" s="108">
        <f>174*2.5+Table13[[#This Row],['#bolts per set]]</f>
        <v>509</v>
      </c>
      <c r="L199" s="37"/>
      <c r="M199" s="17"/>
      <c r="N199" s="17">
        <f>Table13[[#This Row],[Qty]]*Table13[[#This Row],[Weight / unit]]</f>
        <v>0</v>
      </c>
    </row>
    <row r="200" spans="1:14" s="9" customFormat="1" ht="20" customHeight="1" x14ac:dyDescent="0.35">
      <c r="A200" s="105" t="s">
        <v>266</v>
      </c>
      <c r="B200" s="106" t="s">
        <v>222</v>
      </c>
      <c r="C200" s="109"/>
      <c r="D200" s="84">
        <v>75.400000000000006</v>
      </c>
      <c r="E200" s="165"/>
      <c r="F200" s="110" t="s">
        <v>216</v>
      </c>
      <c r="G200" s="111">
        <f t="shared" si="40"/>
        <v>0</v>
      </c>
      <c r="H200" s="112" t="s">
        <v>217</v>
      </c>
      <c r="I200" s="108">
        <v>81</v>
      </c>
      <c r="J200" s="37" t="s">
        <v>276</v>
      </c>
      <c r="K200" s="108">
        <f>174*2+Table13[[#This Row],['#bolts per set]]</f>
        <v>429</v>
      </c>
      <c r="L200" s="37"/>
      <c r="M200" s="17"/>
      <c r="N200" s="17">
        <f>Table13[[#This Row],[Qty]]*Table13[[#This Row],[Weight / unit]]</f>
        <v>0</v>
      </c>
    </row>
    <row r="201" spans="1:14" s="9" customFormat="1" ht="20" customHeight="1" x14ac:dyDescent="0.35">
      <c r="A201" s="105" t="s">
        <v>267</v>
      </c>
      <c r="B201" s="106" t="s">
        <v>223</v>
      </c>
      <c r="C201" s="113"/>
      <c r="D201" s="84">
        <v>41.8</v>
      </c>
      <c r="E201" s="165"/>
      <c r="F201" s="110" t="s">
        <v>215</v>
      </c>
      <c r="G201" s="111">
        <f t="shared" si="40"/>
        <v>0</v>
      </c>
      <c r="H201" s="112" t="s">
        <v>217</v>
      </c>
      <c r="I201" s="108">
        <v>73</v>
      </c>
      <c r="J201" s="37" t="s">
        <v>276</v>
      </c>
      <c r="K201" s="108">
        <f>174*1+Table13[[#This Row],['#bolts per set]]</f>
        <v>247</v>
      </c>
      <c r="L201" s="37" t="s">
        <v>207</v>
      </c>
      <c r="M201" s="17"/>
      <c r="N201" s="17">
        <f>Table13[[#This Row],[Qty]]*Table13[[#This Row],[Weight / unit]]</f>
        <v>0</v>
      </c>
    </row>
    <row r="202" spans="1:14" s="9" customFormat="1" ht="20" customHeight="1" x14ac:dyDescent="0.35">
      <c r="A202" s="105" t="s">
        <v>204</v>
      </c>
      <c r="B202" s="106"/>
      <c r="C202" s="107"/>
      <c r="D202" s="84">
        <v>6.25</v>
      </c>
      <c r="E202" s="165"/>
      <c r="F202" s="110" t="s">
        <v>92</v>
      </c>
      <c r="G202" s="111">
        <f t="shared" si="39"/>
        <v>0</v>
      </c>
      <c r="H202" s="114"/>
      <c r="I202" s="17"/>
      <c r="J202" s="17"/>
      <c r="K202" s="108">
        <v>9.6</v>
      </c>
      <c r="L202" s="37"/>
      <c r="M202" s="17"/>
      <c r="N202" s="17">
        <f>Table13[[#This Row],[Qty]]*Table13[[#This Row],[Weight / unit]]</f>
        <v>0</v>
      </c>
    </row>
    <row r="203" spans="1:14" s="9" customFormat="1" ht="20" customHeight="1" x14ac:dyDescent="0.35">
      <c r="A203" s="98" t="s">
        <v>283</v>
      </c>
      <c r="B203" s="99"/>
      <c r="C203" s="100"/>
      <c r="D203" s="101"/>
      <c r="E203" s="99"/>
      <c r="F203" s="102"/>
      <c r="G203" s="103" t="str">
        <f>IF(SUM(G204:G212)=0,"",SUM(G204:G212))</f>
        <v/>
      </c>
      <c r="H203" s="103"/>
      <c r="I203" s="103"/>
      <c r="J203" s="103"/>
      <c r="K203" s="103"/>
      <c r="L203" s="104"/>
      <c r="M203" s="103"/>
      <c r="N203" s="103"/>
    </row>
    <row r="204" spans="1:14" s="9" customFormat="1" ht="20" customHeight="1" x14ac:dyDescent="0.35">
      <c r="A204" s="105" t="s">
        <v>275</v>
      </c>
      <c r="B204" s="106"/>
      <c r="C204" s="107"/>
      <c r="D204" s="84">
        <f>Table13[[#This Row],[Total]]</f>
        <v>0</v>
      </c>
      <c r="E204" s="162"/>
      <c r="F204" s="163" t="s">
        <v>94</v>
      </c>
      <c r="G204" s="85">
        <f>IF(Table13[[#This Row],[Qty]]="Yes",Table13[[#This Row],['#screws ordered]]*1.3,0)</f>
        <v>0</v>
      </c>
      <c r="H204" s="57"/>
      <c r="I204" s="17"/>
      <c r="J204" s="17"/>
      <c r="K204" s="108">
        <v>4</v>
      </c>
      <c r="L204" s="37"/>
      <c r="M204" s="17">
        <f>IF(Table13[[#This Row],[Qty]]="Yes", SUM(M18:M97),0)</f>
        <v>0</v>
      </c>
      <c r="N204" s="17">
        <f>IF(Table13[[#This Row],[Qty]]="Yes",Table13[[#This Row],['#screws ordered]]*Table13[[#This Row],[Weight / unit]],0)</f>
        <v>0</v>
      </c>
    </row>
    <row r="205" spans="1:14" s="9" customFormat="1" ht="20" customHeight="1" x14ac:dyDescent="0.35">
      <c r="A205" s="105" t="s">
        <v>257</v>
      </c>
      <c r="B205" s="106" t="s">
        <v>219</v>
      </c>
      <c r="C205" s="115" t="s">
        <v>183</v>
      </c>
      <c r="D205" s="84">
        <v>0.9395</v>
      </c>
      <c r="E205" s="165"/>
      <c r="F205" s="110" t="s">
        <v>92</v>
      </c>
      <c r="G205" s="111">
        <f t="shared" ref="G205:G212" si="41">E205*D205</f>
        <v>0</v>
      </c>
      <c r="H205" s="114"/>
      <c r="I205" s="17"/>
      <c r="J205" s="37" t="s">
        <v>218</v>
      </c>
      <c r="K205" s="108">
        <v>1.74</v>
      </c>
      <c r="L205" s="108" t="s">
        <v>277</v>
      </c>
      <c r="M205" s="17"/>
      <c r="N205" s="17">
        <f>Table13[[#This Row],[Qty]]*Table13[[#This Row],[Weight / unit]]</f>
        <v>0</v>
      </c>
    </row>
    <row r="206" spans="1:14" s="9" customFormat="1" ht="20" customHeight="1" x14ac:dyDescent="0.35">
      <c r="A206" s="105" t="s">
        <v>268</v>
      </c>
      <c r="B206" s="106" t="s">
        <v>220</v>
      </c>
      <c r="C206" s="115" t="s">
        <v>183</v>
      </c>
      <c r="D206" s="84">
        <v>1.2003999999999999</v>
      </c>
      <c r="E206" s="165"/>
      <c r="F206" s="110" t="s">
        <v>92</v>
      </c>
      <c r="G206" s="111">
        <f t="shared" si="41"/>
        <v>0</v>
      </c>
      <c r="H206" s="114"/>
      <c r="I206" s="17"/>
      <c r="J206" s="37" t="s">
        <v>218</v>
      </c>
      <c r="K206" s="108">
        <v>3.1</v>
      </c>
      <c r="L206" s="108" t="s">
        <v>277</v>
      </c>
      <c r="M206" s="17"/>
      <c r="N206" s="17">
        <f>Table13[[#This Row],[Qty]]*Table13[[#This Row],[Weight / unit]]</f>
        <v>0</v>
      </c>
    </row>
    <row r="207" spans="1:14" s="9" customFormat="1" ht="20" customHeight="1" x14ac:dyDescent="0.35">
      <c r="A207" s="105" t="s">
        <v>269</v>
      </c>
      <c r="B207" s="106" t="s">
        <v>221</v>
      </c>
      <c r="C207" s="115" t="s">
        <v>183</v>
      </c>
      <c r="D207" s="84">
        <v>1.4151</v>
      </c>
      <c r="E207" s="165"/>
      <c r="F207" s="110" t="s">
        <v>92</v>
      </c>
      <c r="G207" s="111">
        <f t="shared" si="41"/>
        <v>0</v>
      </c>
      <c r="H207" s="114"/>
      <c r="I207" s="17"/>
      <c r="J207" s="37" t="s">
        <v>218</v>
      </c>
      <c r="K207" s="108">
        <v>4.0999999999999996</v>
      </c>
      <c r="L207" s="108" t="s">
        <v>277</v>
      </c>
      <c r="M207" s="17"/>
      <c r="N207" s="17">
        <f>Table13[[#This Row],[Qty]]*Table13[[#This Row],[Weight / unit]]</f>
        <v>0</v>
      </c>
    </row>
    <row r="208" spans="1:14" s="9" customFormat="1" ht="20" customHeight="1" x14ac:dyDescent="0.35">
      <c r="A208" s="105" t="s">
        <v>270</v>
      </c>
      <c r="B208" s="106" t="s">
        <v>222</v>
      </c>
      <c r="C208" s="115" t="s">
        <v>183</v>
      </c>
      <c r="D208" s="84">
        <v>2.68</v>
      </c>
      <c r="E208" s="165"/>
      <c r="F208" s="110" t="s">
        <v>92</v>
      </c>
      <c r="G208" s="111">
        <f t="shared" si="41"/>
        <v>0</v>
      </c>
      <c r="H208" s="114"/>
      <c r="I208" s="17"/>
      <c r="J208" s="37" t="s">
        <v>218</v>
      </c>
      <c r="K208" s="108">
        <v>5.38</v>
      </c>
      <c r="L208" s="108" t="s">
        <v>277</v>
      </c>
      <c r="M208" s="17"/>
      <c r="N208" s="17">
        <f>Table13[[#This Row],[Qty]]*Table13[[#This Row],[Weight / unit]]</f>
        <v>0</v>
      </c>
    </row>
    <row r="209" spans="1:14" s="9" customFormat="1" ht="20" customHeight="1" x14ac:dyDescent="0.35">
      <c r="A209" s="105" t="s">
        <v>271</v>
      </c>
      <c r="B209" s="106" t="s">
        <v>219</v>
      </c>
      <c r="C209" s="115" t="s">
        <v>183</v>
      </c>
      <c r="D209" s="84">
        <f>D205*100*2</f>
        <v>187.9</v>
      </c>
      <c r="E209" s="165"/>
      <c r="F209" s="110" t="s">
        <v>216</v>
      </c>
      <c r="G209" s="111">
        <f t="shared" si="41"/>
        <v>0</v>
      </c>
      <c r="H209" s="112" t="s">
        <v>217</v>
      </c>
      <c r="I209" s="108">
        <v>30</v>
      </c>
      <c r="J209" s="37" t="s">
        <v>276</v>
      </c>
      <c r="K209" s="108">
        <f>K205*100*2+Table13[[#This Row],['#bolts per set]]</f>
        <v>378</v>
      </c>
      <c r="L209" s="108" t="s">
        <v>277</v>
      </c>
      <c r="M209" s="17"/>
      <c r="N209" s="17">
        <f>Table13[[#This Row],[Qty]]*Table13[[#This Row],[Weight / unit]]</f>
        <v>0</v>
      </c>
    </row>
    <row r="210" spans="1:14" s="9" customFormat="1" ht="20" customHeight="1" x14ac:dyDescent="0.35">
      <c r="A210" s="105" t="s">
        <v>272</v>
      </c>
      <c r="B210" s="106" t="s">
        <v>220</v>
      </c>
      <c r="C210" s="115" t="s">
        <v>183</v>
      </c>
      <c r="D210" s="84">
        <f>D206*100*1</f>
        <v>120.03999999999999</v>
      </c>
      <c r="E210" s="165"/>
      <c r="F210" s="110" t="s">
        <v>215</v>
      </c>
      <c r="G210" s="111">
        <f t="shared" si="41"/>
        <v>0</v>
      </c>
      <c r="H210" s="112" t="s">
        <v>217</v>
      </c>
      <c r="I210" s="108">
        <v>40</v>
      </c>
      <c r="J210" s="37" t="s">
        <v>276</v>
      </c>
      <c r="K210" s="108">
        <f>K206*100*1+Table13[[#This Row],['#bolts per set]]</f>
        <v>350</v>
      </c>
      <c r="L210" s="108" t="s">
        <v>277</v>
      </c>
      <c r="M210" s="17"/>
      <c r="N210" s="17">
        <f>Table13[[#This Row],[Qty]]*Table13[[#This Row],[Weight / unit]]</f>
        <v>0</v>
      </c>
    </row>
    <row r="211" spans="1:14" s="9" customFormat="1" ht="20" customHeight="1" x14ac:dyDescent="0.35">
      <c r="A211" s="105" t="s">
        <v>273</v>
      </c>
      <c r="B211" s="106" t="s">
        <v>221</v>
      </c>
      <c r="C211" s="115" t="s">
        <v>183</v>
      </c>
      <c r="D211" s="84">
        <f>D207*100*2.5</f>
        <v>353.77499999999998</v>
      </c>
      <c r="E211" s="165"/>
      <c r="F211" s="110" t="s">
        <v>214</v>
      </c>
      <c r="G211" s="111">
        <f t="shared" si="41"/>
        <v>0</v>
      </c>
      <c r="H211" s="112" t="s">
        <v>217</v>
      </c>
      <c r="I211" s="108">
        <v>75</v>
      </c>
      <c r="J211" s="37" t="s">
        <v>276</v>
      </c>
      <c r="K211" s="108">
        <f>K207*100*2.5+Table13[[#This Row],['#bolts per set]]</f>
        <v>1099.9999999999998</v>
      </c>
      <c r="L211" s="108" t="s">
        <v>277</v>
      </c>
      <c r="M211" s="17"/>
      <c r="N211" s="17">
        <f>Table13[[#This Row],[Qty]]*Table13[[#This Row],[Weight / unit]]</f>
        <v>0</v>
      </c>
    </row>
    <row r="212" spans="1:14" s="9" customFormat="1" ht="20" customHeight="1" x14ac:dyDescent="0.35">
      <c r="A212" s="105" t="s">
        <v>274</v>
      </c>
      <c r="B212" s="106" t="s">
        <v>222</v>
      </c>
      <c r="C212" s="115" t="s">
        <v>183</v>
      </c>
      <c r="D212" s="84">
        <f>D208*100*1</f>
        <v>268</v>
      </c>
      <c r="E212" s="165"/>
      <c r="F212" s="110" t="s">
        <v>215</v>
      </c>
      <c r="G212" s="111">
        <f t="shared" si="41"/>
        <v>0</v>
      </c>
      <c r="H212" s="112" t="s">
        <v>217</v>
      </c>
      <c r="I212" s="108">
        <v>73</v>
      </c>
      <c r="J212" s="37" t="s">
        <v>276</v>
      </c>
      <c r="K212" s="108">
        <f>K208*100*1+Table13[[#This Row],['#bolts per set]]</f>
        <v>611</v>
      </c>
      <c r="L212" s="108" t="s">
        <v>277</v>
      </c>
      <c r="M212" s="17"/>
      <c r="N212" s="17">
        <f>Table13[[#This Row],[Qty]]*Table13[[#This Row],[Weight / unit]]</f>
        <v>0</v>
      </c>
    </row>
    <row r="213" spans="1:14" s="9" customFormat="1" ht="49.5" customHeight="1" x14ac:dyDescent="0.35">
      <c r="A213" s="38" t="s">
        <v>168</v>
      </c>
      <c r="B213" s="38"/>
      <c r="C213" s="116"/>
      <c r="D213" s="40" t="s">
        <v>56</v>
      </c>
      <c r="E213" s="38"/>
      <c r="F213" s="41"/>
      <c r="G213" s="42"/>
      <c r="H213" s="117"/>
      <c r="I213" s="117"/>
      <c r="J213" s="117"/>
      <c r="K213" s="42"/>
      <c r="L213" s="43"/>
      <c r="M213" s="42"/>
      <c r="N213" s="42"/>
    </row>
    <row r="214" spans="1:14" s="9" customFormat="1" ht="20" customHeight="1" x14ac:dyDescent="0.35">
      <c r="A214" s="118" t="s">
        <v>225</v>
      </c>
      <c r="B214" s="119" t="s">
        <v>224</v>
      </c>
      <c r="C214" s="120"/>
      <c r="D214" s="121">
        <v>33</v>
      </c>
      <c r="E214" s="166"/>
      <c r="F214" s="122" t="s">
        <v>226</v>
      </c>
      <c r="G214" s="123">
        <f>E214*D214</f>
        <v>0</v>
      </c>
      <c r="H214" s="124"/>
      <c r="I214" s="125"/>
      <c r="J214" s="125"/>
      <c r="K214" s="125">
        <v>150</v>
      </c>
      <c r="L214" s="126"/>
      <c r="M214" s="125">
        <f>Table13[[#This Row],[Qty]]*Table13[[#This Row],['#screws per set]]</f>
        <v>0</v>
      </c>
      <c r="N214" s="125">
        <f>Table13[[#This Row],[Qty]]*Table13[[#This Row],[Weight / unit]]</f>
        <v>0</v>
      </c>
    </row>
    <row r="215" spans="1:14" s="9" customFormat="1" ht="23" customHeight="1" x14ac:dyDescent="0.35">
      <c r="A215" s="127"/>
      <c r="B215" s="127"/>
      <c r="C215" s="127"/>
      <c r="D215" s="128"/>
      <c r="E215" s="129" t="s">
        <v>47</v>
      </c>
      <c r="F215" s="129" t="s">
        <v>157</v>
      </c>
      <c r="G215" s="130">
        <f>SUM(G18:G97,G100,G102:G111,G113:G116,G118:G133,G135:G139,G141:G150,G152:G157,G159:G175,G177:G189,G191:G202,G204:G212,G214)</f>
        <v>0</v>
      </c>
      <c r="H215" s="131">
        <f>SUM(H18:H97)</f>
        <v>0</v>
      </c>
      <c r="I215" s="132" t="s">
        <v>248</v>
      </c>
      <c r="J215" s="131">
        <f>SUM(J118:J189)</f>
        <v>0</v>
      </c>
      <c r="K215" s="133"/>
      <c r="L215" s="134" t="s">
        <v>249</v>
      </c>
      <c r="M215" s="133">
        <f>SUM(M191:M202,M204:M212)</f>
        <v>0</v>
      </c>
      <c r="N215" s="131">
        <f>SUM(N18:N97,N100,N102:N111,N118:N133,N113:N116,N135:N139,N141:N150,N152:N157,N159:N175,N177:N189,N214:N214,N191:N202,N204:N212)</f>
        <v>0</v>
      </c>
    </row>
    <row r="216" spans="1:14" s="9" customFormat="1" ht="23" customHeight="1" x14ac:dyDescent="0.35">
      <c r="A216" s="135"/>
      <c r="B216" s="136"/>
      <c r="C216" s="136"/>
      <c r="D216" s="137"/>
      <c r="E216" s="136"/>
      <c r="F216" s="138" t="s">
        <v>45</v>
      </c>
      <c r="G216" s="139" t="str">
        <f>IF(COUNT(E18:E97)=0,"",SUM(E18:E97))</f>
        <v/>
      </c>
      <c r="H216" s="140"/>
      <c r="I216" s="131"/>
      <c r="J216" s="131"/>
      <c r="K216" s="131"/>
      <c r="L216" s="131"/>
      <c r="M216" s="131"/>
      <c r="N216" s="140"/>
    </row>
    <row r="217" spans="1:14" s="9" customFormat="1" ht="23" customHeight="1" x14ac:dyDescent="0.35">
      <c r="A217" s="141"/>
      <c r="B217" s="142"/>
      <c r="C217" s="142"/>
      <c r="D217" s="143"/>
      <c r="E217" s="142"/>
      <c r="F217" s="144" t="s">
        <v>46</v>
      </c>
      <c r="G217" s="139" t="str">
        <f>IF(COUNT(E18:E97)=0,"",H215)</f>
        <v/>
      </c>
      <c r="H217" s="131"/>
      <c r="I217" s="131"/>
      <c r="J217" s="131"/>
      <c r="K217" s="131"/>
      <c r="L217" s="131"/>
      <c r="M217" s="131"/>
      <c r="N217" s="131"/>
    </row>
    <row r="218" spans="1:14" s="9" customFormat="1" ht="23" customHeight="1" x14ac:dyDescent="0.35">
      <c r="A218" s="141"/>
      <c r="B218" s="142"/>
      <c r="C218" s="142"/>
      <c r="D218" s="143"/>
      <c r="E218" s="142"/>
      <c r="F218" s="144" t="s">
        <v>43</v>
      </c>
      <c r="G218" s="145" t="str">
        <f>IF(G217="","", SUM(G18:G97)/G217)</f>
        <v/>
      </c>
      <c r="H218" s="131"/>
      <c r="I218" s="146" t="str">
        <f>IF(G215=0,"",I219*100/G215)</f>
        <v/>
      </c>
      <c r="J218" s="131"/>
      <c r="K218" s="146" t="str">
        <f>IF(G215=0,"",K219*100/G215)</f>
        <v/>
      </c>
      <c r="L218" s="146"/>
      <c r="M218" s="146"/>
      <c r="N218" s="131"/>
    </row>
    <row r="219" spans="1:14" s="9" customFormat="1" ht="23" customHeight="1" x14ac:dyDescent="0.35">
      <c r="A219" s="147"/>
      <c r="B219" s="148"/>
      <c r="C219" s="148"/>
      <c r="D219" s="149"/>
      <c r="E219" s="150"/>
      <c r="F219" s="144" t="s">
        <v>138</v>
      </c>
      <c r="G219" s="145" t="str">
        <f>IF(C13="FREE pick up (Perth/Highgate WA)","", IF(C13="Standard shipping (Australia wide)", I219, IF(C13="Express shipping (Australia wide)",K219,"")))</f>
        <v/>
      </c>
      <c r="H219" s="151" t="s">
        <v>155</v>
      </c>
      <c r="I219" s="152" t="str">
        <f>IF(N215&gt;0,
IF(N215&lt;1000,15,
IF(N215&lt;2000,18,
IF(N215&lt;3000,22,
IF(N215&lt;4500,25,
IF(N215&lt;10000, 35,
ROUNDUP(N215/10000*35,0)))))),"")</f>
        <v/>
      </c>
      <c r="J219" s="151" t="s">
        <v>156</v>
      </c>
      <c r="K219" s="152" t="str">
        <f>IF(N215&gt;0,
IF(N215&lt;1000,18,
IF(N215&lt;2000,25,
IF(N215&lt;4500,30,
ROUNDUP(N215/4500*55,0)))),"")</f>
        <v/>
      </c>
      <c r="L219" s="152"/>
      <c r="M219" s="152"/>
      <c r="N219" s="131"/>
    </row>
    <row r="220" spans="1:14" s="9" customFormat="1" ht="23" customHeight="1" x14ac:dyDescent="0.35">
      <c r="A220" s="141"/>
      <c r="B220" s="142"/>
      <c r="C220" s="142"/>
      <c r="D220" s="143"/>
      <c r="E220" s="142"/>
      <c r="F220" s="144" t="s">
        <v>158</v>
      </c>
      <c r="G220" s="153">
        <f>IF(G219="", G215,G219+G215)</f>
        <v>0</v>
      </c>
      <c r="H220" s="131"/>
      <c r="I220" s="131"/>
      <c r="J220" s="131"/>
      <c r="K220" s="131"/>
      <c r="L220" s="131"/>
      <c r="M220" s="131"/>
      <c r="N220" s="131"/>
    </row>
    <row r="221" spans="1:14" ht="23.25" customHeight="1" x14ac:dyDescent="0.3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</row>
    <row r="222" spans="1:14" ht="23.25" customHeight="1" x14ac:dyDescent="0.3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</row>
    <row r="223" spans="1:14" ht="23.25" customHeight="1" x14ac:dyDescent="0.35">
      <c r="A223" s="3"/>
      <c r="B223" s="3"/>
      <c r="C223" s="3"/>
      <c r="E223" s="3"/>
      <c r="G223" s="3"/>
    </row>
    <row r="224" spans="1:14" ht="23.25" customHeight="1" x14ac:dyDescent="0.35">
      <c r="A224" s="3"/>
      <c r="B224" s="3"/>
      <c r="C224" s="3"/>
      <c r="E224" s="3"/>
      <c r="G224" s="3"/>
    </row>
    <row r="225" spans="1:7" ht="23.25" customHeight="1" x14ac:dyDescent="0.35">
      <c r="A225" s="3"/>
      <c r="B225" s="3"/>
      <c r="C225" s="3"/>
      <c r="E225" s="3"/>
      <c r="G225" s="3"/>
    </row>
    <row r="226" spans="1:7" ht="23.25" customHeight="1" x14ac:dyDescent="0.35">
      <c r="A226" s="3"/>
      <c r="B226" s="3"/>
      <c r="C226" s="3"/>
      <c r="E226" s="3"/>
      <c r="G226" s="3"/>
    </row>
    <row r="227" spans="1:7" ht="23.25" customHeight="1" x14ac:dyDescent="0.35">
      <c r="A227" s="3"/>
      <c r="B227" s="3"/>
      <c r="C227" s="3"/>
      <c r="E227" s="3"/>
      <c r="G227" s="3"/>
    </row>
    <row r="228" spans="1:7" ht="23.25" customHeight="1" x14ac:dyDescent="0.35">
      <c r="A228" s="3"/>
      <c r="B228" s="3"/>
      <c r="C228" s="3"/>
      <c r="E228" s="3"/>
      <c r="G228" s="3"/>
    </row>
    <row r="229" spans="1:7" ht="23.25" customHeight="1" x14ac:dyDescent="0.35">
      <c r="A229" s="3"/>
      <c r="B229" s="3"/>
      <c r="C229" s="3"/>
      <c r="E229" s="3"/>
      <c r="G229" s="3"/>
    </row>
    <row r="230" spans="1:7" ht="23.25" customHeight="1" x14ac:dyDescent="0.35">
      <c r="A230" s="3"/>
      <c r="B230" s="3"/>
      <c r="C230" s="3"/>
      <c r="E230" s="3"/>
      <c r="G230" s="3"/>
    </row>
    <row r="231" spans="1:7" ht="23.25" customHeight="1" x14ac:dyDescent="0.35">
      <c r="A231" s="3"/>
      <c r="B231" s="3"/>
      <c r="C231" s="3"/>
      <c r="E231" s="3"/>
      <c r="G231" s="3"/>
    </row>
    <row r="232" spans="1:7" ht="23.25" customHeight="1" x14ac:dyDescent="0.35">
      <c r="A232" s="3"/>
      <c r="B232" s="3"/>
      <c r="C232" s="3"/>
      <c r="E232" s="3"/>
      <c r="G232" s="3"/>
    </row>
    <row r="233" spans="1:7" ht="23.25" customHeight="1" x14ac:dyDescent="0.35">
      <c r="A233" s="3"/>
      <c r="B233" s="3"/>
      <c r="C233" s="3"/>
      <c r="E233" s="3"/>
      <c r="G233" s="3"/>
    </row>
    <row r="234" spans="1:7" ht="23.25" customHeight="1" x14ac:dyDescent="0.35">
      <c r="A234" s="3"/>
      <c r="B234" s="3"/>
      <c r="C234" s="3"/>
      <c r="E234" s="3"/>
      <c r="G234" s="3"/>
    </row>
    <row r="235" spans="1:7" ht="23.25" customHeight="1" x14ac:dyDescent="0.35">
      <c r="A235" s="3"/>
      <c r="B235" s="3"/>
      <c r="C235" s="3"/>
      <c r="E235" s="3"/>
      <c r="G235" s="3"/>
    </row>
    <row r="236" spans="1:7" ht="23.25" customHeight="1" x14ac:dyDescent="0.35">
      <c r="A236" s="3"/>
      <c r="B236" s="3"/>
      <c r="C236" s="3"/>
      <c r="E236" s="3"/>
      <c r="G236" s="3"/>
    </row>
    <row r="237" spans="1:7" ht="23.25" customHeight="1" x14ac:dyDescent="0.35">
      <c r="A237" s="3"/>
      <c r="B237" s="3"/>
      <c r="C237" s="3"/>
      <c r="E237" s="3"/>
      <c r="G237" s="3"/>
    </row>
    <row r="238" spans="1:7" ht="23.25" customHeight="1" x14ac:dyDescent="0.35">
      <c r="A238" s="3"/>
      <c r="B238" s="3"/>
      <c r="C238" s="3"/>
      <c r="E238" s="3"/>
      <c r="G238" s="3"/>
    </row>
    <row r="239" spans="1:7" ht="23.25" customHeight="1" x14ac:dyDescent="0.35">
      <c r="A239" s="3"/>
      <c r="B239" s="3"/>
      <c r="C239" s="3"/>
      <c r="E239" s="3"/>
      <c r="G239" s="3"/>
    </row>
    <row r="240" spans="1:7" ht="23.25" customHeight="1" x14ac:dyDescent="0.35">
      <c r="A240" s="3"/>
      <c r="B240" s="3"/>
      <c r="C240" s="3"/>
      <c r="E240" s="3"/>
      <c r="G240" s="3"/>
    </row>
    <row r="241" spans="1:7" ht="23.25" customHeight="1" x14ac:dyDescent="0.35">
      <c r="A241" s="3"/>
      <c r="B241" s="3"/>
      <c r="C241" s="3"/>
      <c r="E241" s="3"/>
      <c r="G241" s="3"/>
    </row>
  </sheetData>
  <sheetProtection password="CC03" sheet="1" objects="1" scenarios="1"/>
  <mergeCells count="25">
    <mergeCell ref="A14:G16"/>
    <mergeCell ref="A6:B6"/>
    <mergeCell ref="A7:B7"/>
    <mergeCell ref="A8:B8"/>
    <mergeCell ref="A9:B9"/>
    <mergeCell ref="A10:B10"/>
    <mergeCell ref="C6:G6"/>
    <mergeCell ref="C7:G7"/>
    <mergeCell ref="C8:G8"/>
    <mergeCell ref="C9:G9"/>
    <mergeCell ref="C10:G10"/>
    <mergeCell ref="C11:G11"/>
    <mergeCell ref="C13:G13"/>
    <mergeCell ref="A12:G12"/>
    <mergeCell ref="A13:B13"/>
    <mergeCell ref="A11:B11"/>
    <mergeCell ref="A1:G1"/>
    <mergeCell ref="A2:B2"/>
    <mergeCell ref="A3:B3"/>
    <mergeCell ref="A4:B4"/>
    <mergeCell ref="A5:B5"/>
    <mergeCell ref="C2:G2"/>
    <mergeCell ref="C3:G3"/>
    <mergeCell ref="C4:G4"/>
    <mergeCell ref="C5:G5"/>
  </mergeCells>
  <dataValidations count="2">
    <dataValidation type="list" showInputMessage="1" showErrorMessage="1" sqref="F81">
      <formula1>$A$2:$A$43</formula1>
    </dataValidation>
    <dataValidation type="list" showInputMessage="1" showErrorMessage="1" sqref="F87 F89 F93">
      <formula1>$A$2:$A$40</formula1>
    </dataValidation>
  </dataValidations>
  <pageMargins left="0.23622047244094491" right="0.23622047244094491" top="0.55118110236220474" bottom="0.55118110236220474" header="0" footer="0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showInputMessage="1" showErrorMessage="1">
          <x14:formula1>
            <xm:f>Answer!$A$2:$A$3</xm:f>
          </x14:formula1>
          <xm:sqref>E118 E159:E160 E191 E204 E141 E177</xm:sqref>
        </x14:dataValidation>
        <x14:dataValidation type="list" allowBlank="1" showInputMessage="1" showErrorMessage="1">
          <x14:formula1>
            <xm:f>Answer!$C$2:$C$5</xm:f>
          </x14:formula1>
          <xm:sqref>C13</xm:sqref>
        </x14:dataValidation>
        <x14:dataValidation type="list" allowBlank="1" showInputMessage="1" showErrorMessage="1">
          <x14:formula1>
            <xm:f>Answer!$E$2:$E$10</xm:f>
          </x14:formula1>
          <xm:sqref>C9</xm:sqref>
        </x14:dataValidation>
        <x14:dataValidation type="list" showInputMessage="1" showErrorMessage="1">
          <x14:formula1>
            <xm:f>Answer!$F$2:$F$20</xm:f>
          </x14:formula1>
          <xm:sqref>F82:F85</xm:sqref>
        </x14:dataValidation>
        <x14:dataValidation type="list" showInputMessage="1" showErrorMessage="1">
          <x14:formula1>
            <xm:f>Colours!$A$2:$A$50</xm:f>
          </x14:formula1>
          <xm:sqref>F18:F30 F32:F33 F86 F41:F57 F35:F39 F96:F97 F88 F90:F92 F59:F80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0"/>
  <sheetViews>
    <sheetView topLeftCell="A12" workbookViewId="0">
      <selection activeCell="C40" sqref="C40"/>
    </sheetView>
  </sheetViews>
  <sheetFormatPr defaultRowHeight="14.5" x14ac:dyDescent="0.35"/>
  <cols>
    <col min="1" max="1" width="42.7265625" bestFit="1" customWidth="1"/>
  </cols>
  <sheetData>
    <row r="1" spans="1:1" ht="15" x14ac:dyDescent="0.25">
      <c r="A1" s="1" t="s">
        <v>3</v>
      </c>
    </row>
    <row r="2" spans="1:1" ht="15" x14ac:dyDescent="0.25">
      <c r="A2" s="1"/>
    </row>
    <row r="3" spans="1:1" x14ac:dyDescent="0.35">
      <c r="A3" s="2" t="s">
        <v>144</v>
      </c>
    </row>
    <row r="4" spans="1:1" x14ac:dyDescent="0.35">
      <c r="A4" s="2"/>
    </row>
    <row r="5" spans="1:1" x14ac:dyDescent="0.35">
      <c r="A5" s="2" t="s">
        <v>250</v>
      </c>
    </row>
    <row r="6" spans="1:1" x14ac:dyDescent="0.35">
      <c r="A6" s="2" t="s">
        <v>171</v>
      </c>
    </row>
    <row r="7" spans="1:1" x14ac:dyDescent="0.35">
      <c r="A7" s="2" t="s">
        <v>209</v>
      </c>
    </row>
    <row r="8" spans="1:1" ht="15" x14ac:dyDescent="0.25">
      <c r="A8" t="s">
        <v>19</v>
      </c>
    </row>
    <row r="9" spans="1:1" ht="15" x14ac:dyDescent="0.25">
      <c r="A9" t="s">
        <v>42</v>
      </c>
    </row>
    <row r="10" spans="1:1" ht="15" x14ac:dyDescent="0.25">
      <c r="A10" t="s">
        <v>303</v>
      </c>
    </row>
    <row r="11" spans="1:1" ht="15" x14ac:dyDescent="0.25">
      <c r="A11" t="s">
        <v>25</v>
      </c>
    </row>
    <row r="12" spans="1:1" ht="15" x14ac:dyDescent="0.25">
      <c r="A12" t="s">
        <v>26</v>
      </c>
    </row>
    <row r="13" spans="1:1" ht="15" x14ac:dyDescent="0.25">
      <c r="A13" t="s">
        <v>98</v>
      </c>
    </row>
    <row r="14" spans="1:1" ht="15" x14ac:dyDescent="0.25">
      <c r="A14" t="s">
        <v>304</v>
      </c>
    </row>
    <row r="15" spans="1:1" ht="15" x14ac:dyDescent="0.25">
      <c r="A15" t="s">
        <v>30</v>
      </c>
    </row>
    <row r="16" spans="1:1" ht="15" x14ac:dyDescent="0.25">
      <c r="A16" t="s">
        <v>34</v>
      </c>
    </row>
    <row r="17" spans="1:1" ht="15" x14ac:dyDescent="0.25">
      <c r="A17" t="s">
        <v>305</v>
      </c>
    </row>
    <row r="18" spans="1:1" ht="15" x14ac:dyDescent="0.25">
      <c r="A18" t="s">
        <v>306</v>
      </c>
    </row>
    <row r="20" spans="1:1" x14ac:dyDescent="0.35">
      <c r="A20" t="s">
        <v>20</v>
      </c>
    </row>
    <row r="21" spans="1:1" ht="15" x14ac:dyDescent="0.25">
      <c r="A21" t="s">
        <v>51</v>
      </c>
    </row>
    <row r="22" spans="1:1" ht="15" x14ac:dyDescent="0.25">
      <c r="A22" t="s">
        <v>52</v>
      </c>
    </row>
    <row r="23" spans="1:1" ht="15" x14ac:dyDescent="0.25">
      <c r="A23" t="s">
        <v>27</v>
      </c>
    </row>
    <row r="24" spans="1:1" ht="15" x14ac:dyDescent="0.25">
      <c r="A24" t="s">
        <v>311</v>
      </c>
    </row>
    <row r="25" spans="1:1" ht="15" x14ac:dyDescent="0.25">
      <c r="A25" t="s">
        <v>251</v>
      </c>
    </row>
    <row r="26" spans="1:1" x14ac:dyDescent="0.35">
      <c r="A26" t="s">
        <v>21</v>
      </c>
    </row>
    <row r="27" spans="1:1" x14ac:dyDescent="0.35">
      <c r="A27" t="s">
        <v>320</v>
      </c>
    </row>
    <row r="28" spans="1:1" x14ac:dyDescent="0.35">
      <c r="A28" t="s">
        <v>319</v>
      </c>
    </row>
    <row r="29" spans="1:1" x14ac:dyDescent="0.35">
      <c r="A29" t="s">
        <v>28</v>
      </c>
    </row>
    <row r="30" spans="1:1" x14ac:dyDescent="0.35">
      <c r="A30" t="s">
        <v>22</v>
      </c>
    </row>
    <row r="31" spans="1:1" x14ac:dyDescent="0.35">
      <c r="A31" t="s">
        <v>54</v>
      </c>
    </row>
    <row r="32" spans="1:1" x14ac:dyDescent="0.35">
      <c r="A32" t="s">
        <v>53</v>
      </c>
    </row>
    <row r="34" spans="1:1" x14ac:dyDescent="0.35">
      <c r="A34" t="s">
        <v>210</v>
      </c>
    </row>
    <row r="35" spans="1:1" x14ac:dyDescent="0.35">
      <c r="A35" t="s">
        <v>211</v>
      </c>
    </row>
    <row r="36" spans="1:1" x14ac:dyDescent="0.35">
      <c r="A36" t="s">
        <v>116</v>
      </c>
    </row>
    <row r="37" spans="1:1" x14ac:dyDescent="0.35">
      <c r="A37" t="s">
        <v>310</v>
      </c>
    </row>
    <row r="38" spans="1:1" x14ac:dyDescent="0.35">
      <c r="A38" t="s">
        <v>212</v>
      </c>
    </row>
    <row r="39" spans="1:1" x14ac:dyDescent="0.35">
      <c r="A39" t="s">
        <v>315</v>
      </c>
    </row>
    <row r="41" spans="1:1" x14ac:dyDescent="0.35">
      <c r="A41" t="s">
        <v>318</v>
      </c>
    </row>
    <row r="42" spans="1:1" x14ac:dyDescent="0.35">
      <c r="A42" t="s">
        <v>312</v>
      </c>
    </row>
    <row r="43" spans="1:1" x14ac:dyDescent="0.35">
      <c r="A43" t="s">
        <v>313</v>
      </c>
    </row>
    <row r="44" spans="1:1" x14ac:dyDescent="0.35">
      <c r="A44" t="s">
        <v>314</v>
      </c>
    </row>
    <row r="45" spans="1:1" x14ac:dyDescent="0.35">
      <c r="A45" t="s">
        <v>316</v>
      </c>
    </row>
    <row r="46" spans="1:1" x14ac:dyDescent="0.35">
      <c r="A46" t="s">
        <v>317</v>
      </c>
    </row>
    <row r="48" spans="1:1" x14ac:dyDescent="0.35">
      <c r="A48" t="s">
        <v>23</v>
      </c>
    </row>
    <row r="50" spans="1:1" x14ac:dyDescent="0.35">
      <c r="A50" t="s">
        <v>29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A3" sqref="A3"/>
    </sheetView>
  </sheetViews>
  <sheetFormatPr defaultRowHeight="14.5" x14ac:dyDescent="0.35"/>
  <cols>
    <col min="2" max="2" width="3.1796875" customWidth="1"/>
    <col min="3" max="3" width="32.1796875" bestFit="1" customWidth="1"/>
    <col min="4" max="4" width="4.54296875" customWidth="1"/>
    <col min="6" max="6" width="20" bestFit="1" customWidth="1"/>
  </cols>
  <sheetData>
    <row r="1" spans="1:7" ht="15" x14ac:dyDescent="0.25">
      <c r="A1" s="1" t="s">
        <v>102</v>
      </c>
      <c r="B1" s="1"/>
      <c r="C1" s="1" t="s">
        <v>103</v>
      </c>
      <c r="D1" s="1"/>
      <c r="E1" s="1" t="s">
        <v>104</v>
      </c>
      <c r="F1" s="1" t="s">
        <v>119</v>
      </c>
      <c r="G1" s="1" t="s">
        <v>159</v>
      </c>
    </row>
    <row r="3" spans="1:7" ht="15" x14ac:dyDescent="0.25">
      <c r="A3" t="s">
        <v>95</v>
      </c>
      <c r="C3" t="s">
        <v>208</v>
      </c>
      <c r="E3" t="s">
        <v>105</v>
      </c>
      <c r="F3" t="s">
        <v>120</v>
      </c>
      <c r="G3" t="s">
        <v>164</v>
      </c>
    </row>
    <row r="4" spans="1:7" x14ac:dyDescent="0.35">
      <c r="C4" t="s">
        <v>101</v>
      </c>
      <c r="E4" t="s">
        <v>106</v>
      </c>
      <c r="F4" t="s">
        <v>121</v>
      </c>
      <c r="G4" t="s">
        <v>160</v>
      </c>
    </row>
    <row r="5" spans="1:7" x14ac:dyDescent="0.35">
      <c r="C5" t="s">
        <v>154</v>
      </c>
      <c r="E5" t="s">
        <v>107</v>
      </c>
      <c r="F5" t="s">
        <v>122</v>
      </c>
      <c r="G5" t="s">
        <v>161</v>
      </c>
    </row>
    <row r="6" spans="1:7" x14ac:dyDescent="0.35">
      <c r="E6" t="s">
        <v>108</v>
      </c>
      <c r="F6" t="s">
        <v>153</v>
      </c>
      <c r="G6" t="s">
        <v>162</v>
      </c>
    </row>
    <row r="7" spans="1:7" x14ac:dyDescent="0.35">
      <c r="E7" t="s">
        <v>109</v>
      </c>
      <c r="F7" t="s">
        <v>123</v>
      </c>
      <c r="G7" t="s">
        <v>163</v>
      </c>
    </row>
    <row r="8" spans="1:7" x14ac:dyDescent="0.35">
      <c r="E8" t="s">
        <v>110</v>
      </c>
      <c r="F8" t="s">
        <v>124</v>
      </c>
    </row>
    <row r="9" spans="1:7" ht="15" x14ac:dyDescent="0.25">
      <c r="E9" t="s">
        <v>111</v>
      </c>
      <c r="F9" t="s">
        <v>125</v>
      </c>
    </row>
    <row r="10" spans="1:7" x14ac:dyDescent="0.35">
      <c r="E10" t="s">
        <v>112</v>
      </c>
      <c r="F10" t="s">
        <v>126</v>
      </c>
    </row>
    <row r="11" spans="1:7" x14ac:dyDescent="0.35">
      <c r="F11" t="s">
        <v>127</v>
      </c>
    </row>
    <row r="12" spans="1:7" x14ac:dyDescent="0.35">
      <c r="F12" t="s">
        <v>152</v>
      </c>
    </row>
    <row r="13" spans="1:7" x14ac:dyDescent="0.35">
      <c r="F13" t="s">
        <v>128</v>
      </c>
    </row>
    <row r="14" spans="1:7" x14ac:dyDescent="0.35">
      <c r="F14" t="s">
        <v>129</v>
      </c>
    </row>
    <row r="15" spans="1:7" ht="15" x14ac:dyDescent="0.25">
      <c r="F15" t="s">
        <v>130</v>
      </c>
    </row>
    <row r="16" spans="1:7" x14ac:dyDescent="0.35">
      <c r="F16" t="s">
        <v>131</v>
      </c>
    </row>
    <row r="17" spans="6:6" x14ac:dyDescent="0.35">
      <c r="F17" t="s">
        <v>132</v>
      </c>
    </row>
    <row r="18" spans="6:6" x14ac:dyDescent="0.35">
      <c r="F18" t="s">
        <v>151</v>
      </c>
    </row>
    <row r="19" spans="6:6" x14ac:dyDescent="0.35">
      <c r="F19" t="s">
        <v>133</v>
      </c>
    </row>
    <row r="20" spans="6:6" x14ac:dyDescent="0.35">
      <c r="F20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TNUT order sheet - March 2025</vt:lpstr>
      <vt:lpstr>Colours</vt:lpstr>
      <vt:lpstr>Answer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RemiV</dc:creator>
  <cp:lastModifiedBy>Remi Vignals</cp:lastModifiedBy>
  <cp:lastPrinted>2025-01-20T12:52:57Z</cp:lastPrinted>
  <dcterms:created xsi:type="dcterms:W3CDTF">2016-10-24T09:51:03Z</dcterms:created>
  <dcterms:modified xsi:type="dcterms:W3CDTF">2025-03-30T06:09:33Z</dcterms:modified>
</cp:coreProperties>
</file>