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ustin Lee\Desktop\Airport Research\Global Airport Research Database\External - Updated Version\"/>
    </mc:Choice>
  </mc:AlternateContent>
  <xr:revisionPtr revIDLastSave="0" documentId="13_ncr:1_{FB63503A-952A-449B-889B-A3C01E97BBFD}" xr6:coauthVersionLast="43" xr6:coauthVersionMax="43" xr10:uidLastSave="{00000000-0000-0000-0000-000000000000}"/>
  <bookViews>
    <workbookView xWindow="-120" yWindow="-120" windowWidth="24240" windowHeight="13140" firstSheet="6" activeTab="6" xr2:uid="{68431860-EEB6-45A3-95AD-446B6B65E0F0}"/>
  </bookViews>
  <sheets>
    <sheet name="Sheet1" sheetId="1" state="hidden" r:id="rId1"/>
    <sheet name="Introduction" sheetId="13" r:id="rId2"/>
    <sheet name="Disclaimer" sheetId="12" r:id="rId3"/>
    <sheet name="Data Sources" sheetId="8" r:id="rId4"/>
    <sheet name="Definitions and Formulas" sheetId="6" r:id="rId5"/>
    <sheet name="Sheet2" sheetId="2" state="hidden" r:id="rId6"/>
    <sheet name="Assumptions by Airport Operator" sheetId="7" r:id="rId7"/>
    <sheet name="Summary of KPIs" sheetId="11" r:id="rId8"/>
    <sheet name="Data in USD" sheetId="10" r:id="rId9"/>
    <sheet name="Data in Local Currency" sheetId="3" r:id="rId10"/>
  </sheets>
  <externalReferences>
    <externalReference r:id="rId11"/>
  </externalReferences>
  <definedNames>
    <definedName name="_xlnm._FilterDatabase" localSheetId="9" hidden="1">'Data in Local Currency'!$B$2:$AK$258</definedName>
    <definedName name="_xlnm._FilterDatabase" localSheetId="8" hidden="1">'Data in USD'!$B$2:$AK$258</definedName>
    <definedName name="_xlnm._FilterDatabase" localSheetId="7" hidden="1">'Summary of KPIs'!$B$2:$AJ$256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5" i="10" l="1"/>
  <c r="H256" i="10"/>
  <c r="H255" i="10"/>
  <c r="H254" i="10"/>
  <c r="H253" i="10"/>
  <c r="H251" i="10"/>
  <c r="H249" i="10"/>
  <c r="H248" i="10"/>
  <c r="H247" i="10"/>
  <c r="H246" i="10"/>
  <c r="H236" i="10"/>
  <c r="H234" i="10"/>
  <c r="H217" i="10"/>
  <c r="H200" i="10"/>
  <c r="H199" i="10"/>
  <c r="H194" i="10"/>
  <c r="H193" i="10"/>
  <c r="H191" i="10"/>
  <c r="H190" i="10"/>
  <c r="H187" i="10"/>
  <c r="H185" i="10"/>
  <c r="H182" i="10"/>
  <c r="H175" i="10"/>
  <c r="H170" i="10"/>
  <c r="H157" i="10"/>
  <c r="H73" i="10"/>
  <c r="H64" i="10"/>
  <c r="H57" i="10"/>
  <c r="H55" i="10"/>
  <c r="H54" i="10"/>
  <c r="H51" i="10"/>
  <c r="H48" i="10"/>
  <c r="H47" i="10"/>
  <c r="H41" i="10"/>
  <c r="H37" i="10"/>
  <c r="H28" i="10"/>
  <c r="H18" i="10"/>
  <c r="H9" i="10"/>
  <c r="H7" i="10"/>
  <c r="H199" i="3" l="1"/>
  <c r="H157" i="3"/>
  <c r="H73" i="3" l="1"/>
  <c r="H57" i="3"/>
  <c r="H55" i="3"/>
  <c r="H51" i="3"/>
  <c r="H47" i="3" l="1"/>
  <c r="H251" i="3" l="1"/>
  <c r="H256" i="3" l="1"/>
  <c r="H255" i="3"/>
  <c r="H254" i="3"/>
  <c r="H253" i="3"/>
  <c r="H249" i="3"/>
  <c r="H248" i="3"/>
  <c r="H247" i="3"/>
  <c r="H246" i="3"/>
  <c r="H236" i="3"/>
  <c r="H234" i="3"/>
  <c r="H217" i="3"/>
  <c r="H200" i="3"/>
  <c r="H194" i="3"/>
  <c r="H193" i="3"/>
  <c r="H191" i="3"/>
  <c r="H190" i="3"/>
  <c r="H188" i="3"/>
  <c r="H187" i="3"/>
  <c r="H185" i="3"/>
  <c r="H182" i="3"/>
  <c r="H175" i="3"/>
  <c r="H170" i="3"/>
  <c r="H64" i="3"/>
  <c r="H54" i="3"/>
  <c r="H48" i="3"/>
  <c r="H41" i="3"/>
  <c r="H37" i="3"/>
  <c r="H28" i="3"/>
  <c r="H18" i="3"/>
  <c r="H9" i="3"/>
  <c r="H7" i="3"/>
  <c r="AI2" i="2"/>
  <c r="AH2" i="2"/>
  <c r="AB194" i="2"/>
  <c r="M194" i="2"/>
  <c r="K194" i="2"/>
  <c r="G194" i="2"/>
  <c r="AG195" i="2" l="1"/>
  <c r="AB195" i="2"/>
  <c r="S195" i="2"/>
  <c r="M195" i="2"/>
  <c r="K195" i="2"/>
  <c r="G195" i="2"/>
  <c r="AG198" i="2"/>
  <c r="R198" i="2"/>
  <c r="R197" i="2"/>
  <c r="K198" i="2"/>
  <c r="G198" i="2"/>
  <c r="Z196" i="2"/>
  <c r="AO197" i="2"/>
  <c r="AG197" i="2"/>
  <c r="G197" i="2"/>
  <c r="K197" i="2"/>
  <c r="AQ200" i="2"/>
  <c r="J200" i="2"/>
  <c r="AB203" i="2"/>
  <c r="AB207" i="2"/>
  <c r="K204" i="2"/>
  <c r="G204" i="2"/>
  <c r="AB260" i="2"/>
  <c r="G260" i="2"/>
  <c r="AB259" i="2"/>
  <c r="G259" i="2"/>
  <c r="AZ259" i="2"/>
  <c r="AB258" i="2"/>
  <c r="G258" i="2"/>
  <c r="AB257" i="2"/>
  <c r="G257" i="2"/>
  <c r="AB256" i="2"/>
  <c r="AZ256" i="2"/>
  <c r="AZ255" i="2"/>
  <c r="G255" i="2"/>
  <c r="M255" i="2"/>
  <c r="Q255" i="2"/>
  <c r="S255" i="2"/>
  <c r="Y255" i="2"/>
  <c r="AA255" i="2"/>
  <c r="AB255" i="2"/>
  <c r="AC255" i="2" s="1"/>
  <c r="AG255" i="2"/>
  <c r="AH255" i="2"/>
  <c r="AT255" i="2" s="1"/>
  <c r="AU255" i="2" s="1"/>
  <c r="AO255" i="2"/>
  <c r="AB254" i="2"/>
  <c r="BA254" i="2"/>
  <c r="AZ254" i="2"/>
  <c r="Z253" i="2"/>
  <c r="AB253" i="2" s="1"/>
  <c r="G253" i="2"/>
  <c r="AB252" i="2"/>
  <c r="G252" i="2"/>
  <c r="BA252" i="2"/>
  <c r="AZ252" i="2"/>
  <c r="AB251" i="2"/>
  <c r="G251" i="2"/>
  <c r="AZ251" i="2"/>
  <c r="G250" i="2"/>
  <c r="AB250" i="2"/>
  <c r="AX250" i="2"/>
  <c r="AB249" i="2"/>
  <c r="AZ249" i="2"/>
  <c r="AT248" i="2"/>
  <c r="AB248" i="2"/>
  <c r="AZ248" i="2"/>
  <c r="AZ247" i="2"/>
  <c r="AB247" i="2"/>
  <c r="AB246" i="2"/>
  <c r="AB244" i="2"/>
  <c r="AB242" i="2"/>
  <c r="AB243" i="2"/>
  <c r="R243" i="2"/>
  <c r="AT243" i="2"/>
  <c r="AZ243" i="2"/>
  <c r="AZ242" i="2"/>
  <c r="AT242" i="2"/>
  <c r="R242" i="2"/>
  <c r="G240" i="2"/>
  <c r="I241" i="2"/>
  <c r="Z241" i="2"/>
  <c r="X241" i="2"/>
  <c r="R241" i="2"/>
  <c r="P241" i="2"/>
  <c r="L241" i="2"/>
  <c r="BA241" i="2"/>
  <c r="AZ241" i="2"/>
  <c r="AB240" i="2"/>
  <c r="BA239" i="2"/>
  <c r="AZ239" i="2"/>
  <c r="AB238" i="2"/>
  <c r="K238" i="2"/>
  <c r="G238" i="2"/>
  <c r="L237" i="2"/>
  <c r="R237" i="2" s="1"/>
  <c r="AZ237" i="2"/>
  <c r="AX236" i="2"/>
  <c r="AZ236" i="2" s="1"/>
  <c r="L236" i="2"/>
  <c r="J236" i="2"/>
  <c r="K231" i="2"/>
  <c r="K232" i="2"/>
  <c r="K233" i="2"/>
  <c r="K234" i="2"/>
  <c r="K235" i="2"/>
  <c r="AZ235" i="2"/>
  <c r="L235" i="2"/>
  <c r="R235" i="2" s="1"/>
  <c r="AT235" i="2"/>
  <c r="AH234" i="2"/>
  <c r="AZ234" i="2"/>
  <c r="AT233" i="2"/>
  <c r="R233" i="2"/>
  <c r="AZ233" i="2"/>
  <c r="AX232" i="2"/>
  <c r="AZ232" i="2" s="1"/>
  <c r="AN232" i="2"/>
  <c r="AH232" i="2"/>
  <c r="AQ232" i="2"/>
  <c r="R232" i="2"/>
  <c r="L232" i="2" s="1"/>
  <c r="AZ231" i="2"/>
  <c r="L231" i="2"/>
  <c r="L230" i="2"/>
  <c r="J230" i="2" s="1"/>
  <c r="K230" i="2" s="1"/>
  <c r="AX229" i="2"/>
  <c r="AZ229" i="2" s="1"/>
  <c r="L229" i="2"/>
  <c r="K229" i="2"/>
  <c r="AZ228" i="2"/>
  <c r="AH228" i="2"/>
  <c r="L228" i="2"/>
  <c r="K228" i="2"/>
  <c r="R227" i="2"/>
  <c r="AH227" i="2"/>
  <c r="K227" i="2"/>
  <c r="AZ227" i="2"/>
  <c r="K224" i="2"/>
  <c r="K223" i="2"/>
  <c r="L222" i="2"/>
  <c r="AH222" i="2" s="1"/>
  <c r="AN222" i="2"/>
  <c r="AN221" i="2"/>
  <c r="AQ255" i="2" l="1"/>
  <c r="AR255" i="2" s="1"/>
  <c r="R236" i="2"/>
  <c r="AB241" i="2"/>
  <c r="L233" i="2"/>
  <c r="K236" i="2"/>
  <c r="K222" i="2" l="1"/>
  <c r="AZ222" i="2"/>
  <c r="R221" i="2"/>
  <c r="G221" i="2"/>
  <c r="AW221" i="2"/>
  <c r="AH221" i="2"/>
  <c r="K221" i="2"/>
  <c r="AZ221" i="2"/>
  <c r="R220" i="2"/>
  <c r="K220" i="2"/>
  <c r="BB220" i="2"/>
  <c r="AW220" i="2"/>
  <c r="AH220" i="2"/>
  <c r="AZ220" i="2"/>
  <c r="AN219" i="2"/>
  <c r="AH219" i="2"/>
  <c r="AG219" i="2"/>
  <c r="AW219" i="2"/>
  <c r="AZ219" i="2"/>
  <c r="K219" i="2"/>
  <c r="K217" i="2"/>
  <c r="M217" i="2"/>
  <c r="Q217" i="2"/>
  <c r="R217" i="2"/>
  <c r="S217" i="2" s="1"/>
  <c r="AN217" i="2"/>
  <c r="AO217" i="2" s="1"/>
  <c r="AS217" i="2"/>
  <c r="AH217" i="2" s="1"/>
  <c r="AW217" i="2"/>
  <c r="AY217" i="2"/>
  <c r="AW216" i="2"/>
  <c r="AZ216" i="2"/>
  <c r="K216" i="2"/>
  <c r="AZ213" i="2"/>
  <c r="K213" i="2"/>
  <c r="AJ214" i="2"/>
  <c r="AN214" i="2"/>
  <c r="K214" i="2"/>
  <c r="AZ214" i="2"/>
  <c r="AB211" i="2"/>
  <c r="X212" i="2"/>
  <c r="AB212" i="2" s="1"/>
  <c r="AZ212" i="2"/>
  <c r="K212" i="2"/>
  <c r="AZ211" i="2"/>
  <c r="K211" i="2"/>
  <c r="AD210" i="2"/>
  <c r="AF210" i="2"/>
  <c r="W210" i="2"/>
  <c r="Z210" i="2"/>
  <c r="U210" i="2"/>
  <c r="AJ210" i="2"/>
  <c r="AL210" i="2"/>
  <c r="AN210" i="2"/>
  <c r="AO210" i="2" s="1"/>
  <c r="AZ210" i="2"/>
  <c r="K210" i="2"/>
  <c r="AZ209" i="2"/>
  <c r="AX207" i="2"/>
  <c r="AZ207" i="2" s="1"/>
  <c r="AZ199" i="2"/>
  <c r="BA196" i="2"/>
  <c r="AZ196" i="2"/>
  <c r="AO196" i="2"/>
  <c r="AG196" i="2"/>
  <c r="X196" i="2"/>
  <c r="AB196" i="2" s="1"/>
  <c r="R196" i="2"/>
  <c r="L196" i="2"/>
  <c r="K196" i="2"/>
  <c r="I196" i="2"/>
  <c r="AH193" i="2"/>
  <c r="AH192" i="2"/>
  <c r="AZ192" i="2"/>
  <c r="AZ189" i="2"/>
  <c r="AH189" i="2"/>
  <c r="AT189" i="2" s="1"/>
  <c r="AO189" i="2"/>
  <c r="AB189" i="2"/>
  <c r="R189" i="2"/>
  <c r="S189" i="2" s="1"/>
  <c r="K189" i="2"/>
  <c r="AZ188" i="2"/>
  <c r="AX187" i="2"/>
  <c r="AZ187" i="2" s="1"/>
  <c r="AW187" i="2"/>
  <c r="I10" i="2"/>
  <c r="AZ10" i="2"/>
  <c r="AZ11" i="2"/>
  <c r="AZ9" i="2"/>
  <c r="AU7" i="2"/>
  <c r="AZ7" i="2"/>
  <c r="AZ4" i="2"/>
  <c r="AZ2" i="2"/>
  <c r="AZ13" i="2"/>
  <c r="AW21" i="2"/>
  <c r="K21" i="2"/>
  <c r="BA25" i="2"/>
  <c r="AZ25" i="2"/>
  <c r="AZ26" i="2"/>
  <c r="BA26" i="2"/>
  <c r="BA28" i="2"/>
  <c r="AZ28" i="2"/>
  <c r="BA27" i="2"/>
  <c r="AZ33" i="2"/>
  <c r="BA33" i="2"/>
  <c r="AZ34" i="2"/>
  <c r="BA34" i="2"/>
  <c r="BA36" i="2"/>
  <c r="L40" i="2"/>
  <c r="K40" i="2"/>
  <c r="AZ40" i="2"/>
  <c r="AZ45" i="2"/>
  <c r="AZ46" i="2"/>
  <c r="AN47" i="2"/>
  <c r="N47" i="2"/>
  <c r="P47" i="2"/>
  <c r="AX47" i="2"/>
  <c r="AZ47" i="2"/>
  <c r="AZ48" i="2"/>
  <c r="R48" i="2"/>
  <c r="I48" i="2"/>
  <c r="G48" i="2"/>
  <c r="R49" i="2"/>
  <c r="AZ49" i="2"/>
  <c r="AY49" i="2"/>
  <c r="AW49" i="2"/>
  <c r="K49" i="2"/>
  <c r="AZ50" i="2"/>
  <c r="AW50" i="2"/>
  <c r="K50" i="2"/>
  <c r="R51" i="2"/>
  <c r="AW51" i="2"/>
  <c r="K51" i="2"/>
  <c r="AZ51" i="2"/>
  <c r="AZ53" i="2"/>
  <c r="AX52" i="2"/>
  <c r="AV52" i="2"/>
  <c r="AW52" i="2" s="1"/>
  <c r="AT52" i="2"/>
  <c r="AU52" i="2" s="1"/>
  <c r="AH52" i="2"/>
  <c r="J52" i="2"/>
  <c r="AN58" i="2"/>
  <c r="AW58" i="2"/>
  <c r="K58" i="2"/>
  <c r="AZ58" i="2"/>
  <c r="AW54" i="2"/>
  <c r="K54" i="2"/>
  <c r="AZ54" i="2"/>
  <c r="AY54" i="2"/>
  <c r="AH55" i="2"/>
  <c r="AZ55" i="2"/>
  <c r="AY55" i="2"/>
  <c r="G55" i="2"/>
  <c r="AW55" i="2"/>
  <c r="K55" i="2"/>
  <c r="AL56" i="2"/>
  <c r="AN56" i="2"/>
  <c r="AW56" i="2"/>
  <c r="K56" i="2"/>
  <c r="AY56" i="2"/>
  <c r="AB57" i="2"/>
  <c r="AZ57" i="2"/>
  <c r="AY57" i="2"/>
  <c r="AW57" i="2"/>
  <c r="K57" i="2"/>
  <c r="AX59" i="2"/>
  <c r="AZ59" i="2" s="1"/>
  <c r="AW60" i="2"/>
  <c r="AT60" i="2"/>
  <c r="J60" i="2"/>
  <c r="K60" i="2" s="1"/>
  <c r="AX60" i="2"/>
  <c r="AZ63" i="2"/>
  <c r="AW63" i="2"/>
  <c r="AH63" i="2"/>
  <c r="AZ61" i="2"/>
  <c r="AZ69" i="2"/>
  <c r="AZ77" i="2"/>
  <c r="AW77" i="2"/>
  <c r="AN77" i="2"/>
  <c r="R77" i="2"/>
  <c r="L75" i="2"/>
  <c r="AZ75" i="2"/>
  <c r="AW75" i="2"/>
  <c r="K75" i="2"/>
  <c r="R76" i="2"/>
  <c r="AW76" i="2"/>
  <c r="Q76" i="2"/>
  <c r="K76" i="2"/>
  <c r="AZ76" i="2"/>
  <c r="AZ89" i="2"/>
  <c r="R89" i="2"/>
  <c r="P89" i="2"/>
  <c r="AJ89" i="2"/>
  <c r="AW90" i="2"/>
  <c r="AZ93" i="2"/>
  <c r="AZ95" i="2"/>
  <c r="AZ94" i="2"/>
  <c r="AZ96" i="2"/>
  <c r="AZ106" i="2"/>
  <c r="AZ108" i="2"/>
  <c r="AZ112" i="2"/>
  <c r="AZ116" i="2"/>
  <c r="AZ118" i="2"/>
  <c r="AZ125" i="2"/>
  <c r="AZ129" i="2"/>
  <c r="AZ130" i="2"/>
  <c r="AY131" i="2"/>
  <c r="AZ131" i="2"/>
  <c r="AZ132" i="2"/>
  <c r="AZ133" i="2"/>
  <c r="AZ134" i="2"/>
  <c r="AZ136" i="2"/>
  <c r="AX140" i="2"/>
  <c r="AZ143" i="2"/>
  <c r="AZ146" i="2"/>
  <c r="AZ147" i="2"/>
  <c r="AX149" i="2"/>
  <c r="AZ156" i="2"/>
  <c r="AZ155" i="2"/>
  <c r="AZ157" i="2"/>
  <c r="R157" i="2"/>
  <c r="AH158" i="2"/>
  <c r="J158" i="2"/>
  <c r="AZ159" i="2"/>
  <c r="AZ160" i="2"/>
  <c r="AY160" i="2"/>
  <c r="AZ161" i="2"/>
  <c r="AZ162" i="2"/>
  <c r="AX162" i="2"/>
  <c r="AY162" i="2" s="1"/>
  <c r="AZ164" i="2"/>
  <c r="AZ165" i="2"/>
  <c r="AY166" i="2"/>
  <c r="AZ166" i="2"/>
  <c r="P166" i="2"/>
  <c r="AZ167" i="2"/>
  <c r="AZ168" i="2"/>
  <c r="AY168" i="2"/>
  <c r="AZ169" i="2"/>
  <c r="AZ170" i="2"/>
  <c r="AY170" i="2"/>
  <c r="AZ173" i="2"/>
  <c r="AY173" i="2"/>
  <c r="AZ174" i="2"/>
  <c r="AY174" i="2"/>
  <c r="AZ175" i="2"/>
  <c r="AZ177" i="2"/>
  <c r="AZ178" i="2"/>
  <c r="AZ180" i="2"/>
  <c r="AY180" i="2"/>
  <c r="AZ181" i="2"/>
  <c r="AZ182" i="2"/>
  <c r="AY182" i="2"/>
  <c r="AZ183" i="2"/>
  <c r="AZ184" i="2"/>
  <c r="AZ186" i="2"/>
  <c r="AY186" i="2"/>
  <c r="AW186" i="2"/>
  <c r="AO186" i="2"/>
  <c r="K186" i="2"/>
  <c r="AZ185" i="2"/>
  <c r="R182" i="2"/>
  <c r="S182" i="2" s="1"/>
  <c r="K182" i="2"/>
  <c r="K180" i="2"/>
  <c r="G178" i="2"/>
  <c r="K178" i="2"/>
  <c r="M178" i="2"/>
  <c r="Q178" i="2"/>
  <c r="R178" i="2"/>
  <c r="S178" i="2" s="1"/>
  <c r="AR178" i="2"/>
  <c r="AS178" i="2"/>
  <c r="AW178" i="2"/>
  <c r="AY178" i="2"/>
  <c r="AH174" i="2"/>
  <c r="R174" i="2"/>
  <c r="AT220" i="2" l="1"/>
  <c r="AT217" i="2"/>
  <c r="AU217" i="2" s="1"/>
  <c r="X210" i="2"/>
  <c r="AB210" i="2"/>
  <c r="AZ52" i="2"/>
  <c r="AT178" i="2"/>
  <c r="AU178" i="2" s="1"/>
  <c r="AC210" i="2" l="1"/>
  <c r="AQ217" i="2"/>
  <c r="AR217" i="2" s="1"/>
  <c r="I173" i="2" l="1"/>
  <c r="G173" i="2" l="1"/>
  <c r="AH169" i="2"/>
  <c r="AF169" i="2"/>
  <c r="U169" i="2"/>
  <c r="AO170" i="2"/>
  <c r="AH170" i="2"/>
  <c r="K170" i="2"/>
  <c r="L168" i="2"/>
  <c r="AH168" i="2"/>
  <c r="AH165" i="2"/>
  <c r="AT163" i="2"/>
  <c r="AQ163" i="2"/>
  <c r="AH163" i="2"/>
  <c r="T163" i="2"/>
  <c r="AF163" i="2"/>
  <c r="R163" i="2"/>
  <c r="L163" i="2"/>
  <c r="AH162" i="2"/>
  <c r="R160" i="2"/>
  <c r="AB160" i="2" s="1"/>
  <c r="L160" i="2"/>
  <c r="K160" i="2"/>
  <c r="AQ158" i="2"/>
  <c r="R158" i="2"/>
  <c r="AH155" i="2"/>
  <c r="AH152" i="2"/>
  <c r="L152" i="2"/>
  <c r="R152" i="2" s="1"/>
  <c r="AH151" i="2"/>
  <c r="L151" i="2"/>
  <c r="R151" i="2" s="1"/>
  <c r="AF160" i="2" l="1"/>
  <c r="AH150" i="2"/>
  <c r="L150" i="2"/>
  <c r="R150" i="2" s="1"/>
  <c r="R149" i="2"/>
  <c r="R148" i="2"/>
  <c r="AH147" i="2"/>
  <c r="AB147" i="2"/>
  <c r="R147" i="2"/>
  <c r="X146" i="2"/>
  <c r="AB146" i="2" s="1"/>
  <c r="R146" i="2"/>
  <c r="K146" i="2"/>
  <c r="R143" i="2"/>
  <c r="AH143" i="2"/>
  <c r="K143" i="2"/>
  <c r="S134" i="2"/>
  <c r="AH131" i="2"/>
  <c r="R131" i="2"/>
  <c r="L131" i="2" s="1"/>
  <c r="AB130" i="2"/>
  <c r="S130" i="2"/>
  <c r="K130" i="2"/>
  <c r="S129" i="2"/>
  <c r="Q129" i="2"/>
  <c r="X129" i="2"/>
  <c r="AB129" i="2" s="1"/>
  <c r="AC129" i="2" s="1"/>
  <c r="AO129" i="2"/>
  <c r="K129" i="2"/>
  <c r="X121" i="2" l="1"/>
  <c r="R121" i="2"/>
  <c r="L121" i="2"/>
  <c r="J121" i="2"/>
  <c r="M119" i="2"/>
  <c r="AO119" i="2"/>
  <c r="K119" i="2"/>
  <c r="M118" i="2"/>
  <c r="AB118" i="2"/>
  <c r="AO118" i="2"/>
  <c r="AY118" i="2"/>
  <c r="AH118" i="2"/>
  <c r="K118" i="2"/>
  <c r="AH115" i="2"/>
  <c r="AQ115" i="2"/>
  <c r="AT115" i="2"/>
  <c r="J115" i="2"/>
  <c r="AH114" i="2"/>
  <c r="AO114" i="2"/>
  <c r="AX90" i="2"/>
  <c r="K90" i="2"/>
  <c r="AY96" i="2"/>
  <c r="AP96" i="2"/>
  <c r="AW96" i="2"/>
  <c r="AO96" i="2"/>
  <c r="O96" i="2"/>
  <c r="P96" i="2"/>
  <c r="Q96" i="2" s="1"/>
  <c r="R96" i="2"/>
  <c r="S96" i="2" s="1"/>
  <c r="K96" i="2"/>
  <c r="AY90" i="2" l="1"/>
  <c r="AZ90" i="2"/>
  <c r="R109" i="2"/>
  <c r="J109" i="2"/>
  <c r="K109" i="2" s="1"/>
  <c r="K105" i="2"/>
  <c r="AR104" i="2"/>
  <c r="I70" i="2"/>
  <c r="AT70" i="2"/>
  <c r="AX70" i="2"/>
  <c r="AY71" i="2"/>
  <c r="L70" i="2"/>
  <c r="M70" i="2" s="1"/>
  <c r="V70" i="2"/>
  <c r="X70" i="2"/>
  <c r="Y70" i="2" s="1"/>
  <c r="AA70" i="2"/>
  <c r="AE70" i="2"/>
  <c r="K71" i="2"/>
  <c r="Q71" i="2"/>
  <c r="R71" i="2"/>
  <c r="S71" i="2" s="1"/>
  <c r="AC71" i="2"/>
  <c r="AH71" i="2"/>
  <c r="AW71" i="2"/>
  <c r="AV70" i="2"/>
  <c r="AQ70" i="2"/>
  <c r="AO69" i="2"/>
  <c r="R69" i="2"/>
  <c r="AH68" i="2"/>
  <c r="I70" i="1" s="1"/>
  <c r="AW67" i="2"/>
  <c r="AU67" i="2"/>
  <c r="AH67" i="2"/>
  <c r="AY67" i="2"/>
  <c r="K67" i="2"/>
  <c r="AH66" i="2"/>
  <c r="I68" i="1" s="1"/>
  <c r="AN66" i="2"/>
  <c r="AO66" i="2" s="1"/>
  <c r="AQ66" i="2"/>
  <c r="AT66" i="2"/>
  <c r="AV66" i="2"/>
  <c r="L66" i="2"/>
  <c r="M66" i="2" s="1"/>
  <c r="G66" i="2"/>
  <c r="F68" i="1" s="1"/>
  <c r="AX66" i="2"/>
  <c r="AM62" i="2"/>
  <c r="BB30" i="2"/>
  <c r="AH45" i="2"/>
  <c r="AT45" i="2"/>
  <c r="R45" i="2"/>
  <c r="L45" i="2"/>
  <c r="M45" i="2" s="1"/>
  <c r="AR42" i="2"/>
  <c r="AR44" i="2"/>
  <c r="J42" i="2"/>
  <c r="G43" i="1" s="1"/>
  <c r="N39" i="2"/>
  <c r="L39" i="2"/>
  <c r="AQ38" i="2"/>
  <c r="J39" i="1" s="1"/>
  <c r="J38" i="2"/>
  <c r="K38" i="2" s="1"/>
  <c r="J37" i="2"/>
  <c r="G37" i="2"/>
  <c r="AL36" i="2"/>
  <c r="AM36" i="2" s="1"/>
  <c r="AJ36" i="2"/>
  <c r="AK36" i="2" s="1"/>
  <c r="AH36" i="2"/>
  <c r="AQ36" i="2"/>
  <c r="AS36" i="2"/>
  <c r="AT36" i="2"/>
  <c r="AV36" i="2"/>
  <c r="BB36" i="2"/>
  <c r="AX36" i="2"/>
  <c r="AZ36" i="2" s="1"/>
  <c r="AN34" i="2"/>
  <c r="AO34" i="2" s="1"/>
  <c r="AT34" i="2"/>
  <c r="AH34" i="2"/>
  <c r="AX33" i="2"/>
  <c r="AT33" i="2"/>
  <c r="AQ33" i="2" s="1"/>
  <c r="L33" i="2"/>
  <c r="AS28" i="2"/>
  <c r="AH28" i="2" s="1"/>
  <c r="AL28" i="2"/>
  <c r="R29" i="2"/>
  <c r="J28" i="2"/>
  <c r="K28" i="2" s="1"/>
  <c r="I28" i="2"/>
  <c r="G28" i="2"/>
  <c r="BB27" i="2"/>
  <c r="AX27" i="2"/>
  <c r="AZ27" i="2" s="1"/>
  <c r="AV27" i="2"/>
  <c r="L27" i="1" s="1"/>
  <c r="AN27" i="2"/>
  <c r="AL27" i="2"/>
  <c r="AM27" i="2" s="1"/>
  <c r="AJ27" i="2"/>
  <c r="AK27" i="2" s="1"/>
  <c r="AS27" i="2"/>
  <c r="AH27" i="2" s="1"/>
  <c r="I27" i="1" s="1"/>
  <c r="L27" i="2"/>
  <c r="J27" i="2"/>
  <c r="G27" i="1" s="1"/>
  <c r="BB26" i="2"/>
  <c r="BB25" i="2"/>
  <c r="AY7" i="2"/>
  <c r="AS10" i="2"/>
  <c r="R10" i="2"/>
  <c r="H10" i="1" s="1"/>
  <c r="L10" i="2"/>
  <c r="AW7" i="2"/>
  <c r="A66" i="1"/>
  <c r="B66" i="1"/>
  <c r="C66" i="1"/>
  <c r="D66" i="1"/>
  <c r="E66" i="1"/>
  <c r="F66" i="1"/>
  <c r="G66" i="1"/>
  <c r="I66" i="1"/>
  <c r="J66" i="1"/>
  <c r="L66" i="1"/>
  <c r="A67" i="1"/>
  <c r="B67" i="1"/>
  <c r="C67" i="1"/>
  <c r="D67" i="1"/>
  <c r="E67" i="1"/>
  <c r="F67" i="1"/>
  <c r="G67" i="1"/>
  <c r="H67" i="1"/>
  <c r="I67" i="1"/>
  <c r="J67" i="1"/>
  <c r="L67" i="1"/>
  <c r="A68" i="1"/>
  <c r="B68" i="1"/>
  <c r="C68" i="1"/>
  <c r="D68" i="1"/>
  <c r="E68" i="1"/>
  <c r="A69" i="1"/>
  <c r="B69" i="1"/>
  <c r="C69" i="1"/>
  <c r="D69" i="1"/>
  <c r="E69" i="1"/>
  <c r="F69" i="1"/>
  <c r="H69" i="1"/>
  <c r="J69" i="1"/>
  <c r="K69" i="1"/>
  <c r="L69" i="1"/>
  <c r="A70" i="1"/>
  <c r="B70" i="1"/>
  <c r="C70" i="1"/>
  <c r="D70" i="1"/>
  <c r="E70" i="1"/>
  <c r="F70" i="1"/>
  <c r="G70" i="1"/>
  <c r="H70" i="1"/>
  <c r="J70" i="1"/>
  <c r="L70" i="1"/>
  <c r="A71" i="1"/>
  <c r="B71" i="1"/>
  <c r="C71" i="1"/>
  <c r="D71" i="1"/>
  <c r="E71" i="1"/>
  <c r="A72" i="1"/>
  <c r="B72" i="1"/>
  <c r="C72" i="1"/>
  <c r="D72" i="1"/>
  <c r="E72" i="1"/>
  <c r="F72" i="1"/>
  <c r="G72" i="1"/>
  <c r="H72" i="1"/>
  <c r="A73" i="1"/>
  <c r="B73" i="1"/>
  <c r="C73" i="1"/>
  <c r="D73" i="1"/>
  <c r="E73" i="1"/>
  <c r="F73" i="1"/>
  <c r="G73" i="1"/>
  <c r="J73" i="1"/>
  <c r="L73" i="1"/>
  <c r="A74" i="1"/>
  <c r="B74" i="1"/>
  <c r="C74" i="1"/>
  <c r="D74" i="1"/>
  <c r="E74" i="1"/>
  <c r="F74" i="1"/>
  <c r="G74" i="1"/>
  <c r="H74" i="1"/>
  <c r="J74" i="1"/>
  <c r="L74" i="1"/>
  <c r="A75" i="1"/>
  <c r="B75" i="1"/>
  <c r="C75" i="1"/>
  <c r="D75" i="1"/>
  <c r="E75" i="1"/>
  <c r="F75" i="1"/>
  <c r="G75" i="1"/>
  <c r="H75" i="1"/>
  <c r="I75" i="1"/>
  <c r="J75" i="1"/>
  <c r="K75" i="1"/>
  <c r="A76" i="1"/>
  <c r="B76" i="1"/>
  <c r="C76" i="1"/>
  <c r="D76" i="1"/>
  <c r="E76" i="1"/>
  <c r="F76" i="1"/>
  <c r="G76" i="1"/>
  <c r="I76" i="1"/>
  <c r="J76" i="1"/>
  <c r="L76" i="1"/>
  <c r="A77" i="1"/>
  <c r="B77" i="1"/>
  <c r="C77" i="1"/>
  <c r="D77" i="1"/>
  <c r="E77" i="1"/>
  <c r="F77" i="1"/>
  <c r="G77" i="1"/>
  <c r="I77" i="1"/>
  <c r="K77" i="1"/>
  <c r="L77" i="1"/>
  <c r="A78" i="1"/>
  <c r="B78" i="1"/>
  <c r="C78" i="1"/>
  <c r="D78" i="1"/>
  <c r="E78" i="1"/>
  <c r="F78" i="1"/>
  <c r="G78" i="1"/>
  <c r="K78" i="1"/>
  <c r="L78" i="1"/>
  <c r="A79" i="1"/>
  <c r="B79" i="1"/>
  <c r="C79" i="1"/>
  <c r="D79" i="1"/>
  <c r="E79" i="1"/>
  <c r="F79" i="1"/>
  <c r="G79" i="1"/>
  <c r="H79" i="1"/>
  <c r="I79" i="1"/>
  <c r="J79" i="1"/>
  <c r="K79" i="1"/>
  <c r="L79" i="1"/>
  <c r="A80" i="1"/>
  <c r="B80" i="1"/>
  <c r="C80" i="1"/>
  <c r="D80" i="1"/>
  <c r="E80" i="1"/>
  <c r="F80" i="1"/>
  <c r="G80" i="1"/>
  <c r="K80" i="1"/>
  <c r="L80" i="1"/>
  <c r="A81" i="1"/>
  <c r="B81" i="1"/>
  <c r="C81" i="1"/>
  <c r="D81" i="1"/>
  <c r="E81" i="1"/>
  <c r="F81" i="1"/>
  <c r="G81" i="1"/>
  <c r="H81" i="1"/>
  <c r="I81" i="1"/>
  <c r="J81" i="1"/>
  <c r="K81" i="1"/>
  <c r="L81" i="1"/>
  <c r="A82" i="1"/>
  <c r="B82" i="1"/>
  <c r="C82" i="1"/>
  <c r="D82" i="1"/>
  <c r="E82" i="1"/>
  <c r="F82" i="1"/>
  <c r="G82" i="1"/>
  <c r="H82" i="1"/>
  <c r="I82" i="1"/>
  <c r="J82" i="1"/>
  <c r="K82" i="1"/>
  <c r="L82" i="1"/>
  <c r="A83" i="1"/>
  <c r="B83" i="1"/>
  <c r="C83" i="1"/>
  <c r="D83" i="1"/>
  <c r="E83" i="1"/>
  <c r="F83" i="1"/>
  <c r="G83" i="1"/>
  <c r="H83" i="1"/>
  <c r="I83" i="1"/>
  <c r="J83" i="1"/>
  <c r="K83" i="1"/>
  <c r="L83" i="1"/>
  <c r="A84" i="1"/>
  <c r="B84" i="1"/>
  <c r="C84" i="1"/>
  <c r="D84" i="1"/>
  <c r="E84" i="1"/>
  <c r="F84" i="1"/>
  <c r="G84" i="1"/>
  <c r="H84" i="1"/>
  <c r="I84" i="1"/>
  <c r="J84" i="1"/>
  <c r="K84" i="1"/>
  <c r="L84" i="1"/>
  <c r="A85" i="1"/>
  <c r="B85" i="1"/>
  <c r="C85" i="1"/>
  <c r="D85" i="1"/>
  <c r="E85" i="1"/>
  <c r="F85" i="1"/>
  <c r="H85" i="1"/>
  <c r="I85" i="1"/>
  <c r="J85" i="1"/>
  <c r="K85" i="1"/>
  <c r="L85" i="1"/>
  <c r="A86" i="1"/>
  <c r="B86" i="1"/>
  <c r="C86" i="1"/>
  <c r="D86" i="1"/>
  <c r="E86" i="1"/>
  <c r="F86" i="1"/>
  <c r="G86" i="1"/>
  <c r="H86" i="1"/>
  <c r="I86" i="1"/>
  <c r="L86" i="1"/>
  <c r="A87" i="1"/>
  <c r="B87" i="1"/>
  <c r="C87" i="1"/>
  <c r="D87" i="1"/>
  <c r="E87" i="1"/>
  <c r="F87" i="1"/>
  <c r="G87" i="1"/>
  <c r="H87" i="1"/>
  <c r="I87" i="1"/>
  <c r="J87" i="1"/>
  <c r="K87" i="1"/>
  <c r="L87" i="1"/>
  <c r="A88" i="1"/>
  <c r="B88" i="1"/>
  <c r="C88" i="1"/>
  <c r="D88" i="1"/>
  <c r="E88" i="1"/>
  <c r="F88" i="1"/>
  <c r="G88" i="1"/>
  <c r="H88" i="1"/>
  <c r="I88" i="1"/>
  <c r="J88" i="1"/>
  <c r="K88" i="1"/>
  <c r="L88" i="1"/>
  <c r="A89" i="1"/>
  <c r="B89" i="1"/>
  <c r="C89" i="1"/>
  <c r="D89" i="1"/>
  <c r="E89" i="1"/>
  <c r="F89" i="1"/>
  <c r="G89" i="1"/>
  <c r="I89" i="1"/>
  <c r="J89" i="1"/>
  <c r="K89" i="1"/>
  <c r="L89" i="1"/>
  <c r="A90" i="1"/>
  <c r="B90" i="1"/>
  <c r="C90" i="1"/>
  <c r="D90" i="1"/>
  <c r="E90" i="1"/>
  <c r="F90" i="1"/>
  <c r="G90" i="1"/>
  <c r="H90" i="1"/>
  <c r="I90" i="1"/>
  <c r="J90" i="1"/>
  <c r="K90" i="1"/>
  <c r="L90" i="1"/>
  <c r="A91" i="1"/>
  <c r="B91" i="1"/>
  <c r="C91" i="1"/>
  <c r="D91" i="1"/>
  <c r="E91" i="1"/>
  <c r="F91" i="1"/>
  <c r="H91" i="1"/>
  <c r="I91" i="1"/>
  <c r="K91" i="1"/>
  <c r="L91" i="1"/>
  <c r="A92" i="1"/>
  <c r="B92" i="1"/>
  <c r="C92" i="1"/>
  <c r="D92" i="1"/>
  <c r="E92" i="1"/>
  <c r="F92" i="1"/>
  <c r="G92" i="1"/>
  <c r="H92" i="1"/>
  <c r="I92" i="1"/>
  <c r="J92" i="1"/>
  <c r="K92" i="1"/>
  <c r="L92" i="1"/>
  <c r="A93" i="1"/>
  <c r="B93" i="1"/>
  <c r="C93" i="1"/>
  <c r="D93" i="1"/>
  <c r="E93" i="1"/>
  <c r="F93" i="1"/>
  <c r="G93" i="1"/>
  <c r="H93" i="1"/>
  <c r="J93" i="1"/>
  <c r="K93" i="1"/>
  <c r="L93" i="1"/>
  <c r="A94" i="1"/>
  <c r="B94" i="1"/>
  <c r="C94" i="1"/>
  <c r="D94" i="1"/>
  <c r="E94" i="1"/>
  <c r="F94" i="1"/>
  <c r="G94" i="1"/>
  <c r="H94" i="1"/>
  <c r="J94" i="1"/>
  <c r="K94" i="1"/>
  <c r="L94" i="1"/>
  <c r="A95" i="1"/>
  <c r="B95" i="1"/>
  <c r="C95" i="1"/>
  <c r="D95" i="1"/>
  <c r="E95" i="1"/>
  <c r="F95" i="1"/>
  <c r="G95" i="1"/>
  <c r="H95" i="1"/>
  <c r="J95" i="1"/>
  <c r="L95" i="1"/>
  <c r="A96" i="1"/>
  <c r="B96" i="1"/>
  <c r="C96" i="1"/>
  <c r="D96" i="1"/>
  <c r="E96" i="1"/>
  <c r="F96" i="1"/>
  <c r="G96" i="1"/>
  <c r="H96" i="1"/>
  <c r="I96" i="1"/>
  <c r="J96" i="1"/>
  <c r="K96" i="1"/>
  <c r="L96" i="1"/>
  <c r="A97" i="1"/>
  <c r="B97" i="1"/>
  <c r="C97" i="1"/>
  <c r="D97" i="1"/>
  <c r="E97" i="1"/>
  <c r="F97" i="1"/>
  <c r="G97" i="1"/>
  <c r="H97" i="1"/>
  <c r="J97" i="1"/>
  <c r="L97" i="1"/>
  <c r="A98" i="1"/>
  <c r="B98" i="1"/>
  <c r="C98" i="1"/>
  <c r="D98" i="1"/>
  <c r="E98" i="1"/>
  <c r="F98" i="1"/>
  <c r="G98" i="1"/>
  <c r="H98" i="1"/>
  <c r="L98" i="1"/>
  <c r="A99" i="1"/>
  <c r="B99" i="1"/>
  <c r="C99" i="1"/>
  <c r="D99" i="1"/>
  <c r="E99" i="1"/>
  <c r="F99" i="1"/>
  <c r="G99" i="1"/>
  <c r="H99" i="1"/>
  <c r="L99" i="1"/>
  <c r="A100" i="1"/>
  <c r="B100" i="1"/>
  <c r="C100" i="1"/>
  <c r="D100" i="1"/>
  <c r="E100" i="1"/>
  <c r="F100" i="1"/>
  <c r="G100" i="1"/>
  <c r="L100" i="1"/>
  <c r="A101" i="1"/>
  <c r="B101" i="1"/>
  <c r="C101" i="1"/>
  <c r="D101" i="1"/>
  <c r="E101" i="1"/>
  <c r="F101" i="1"/>
  <c r="G101" i="1"/>
  <c r="H101" i="1"/>
  <c r="I101" i="1"/>
  <c r="J101" i="1"/>
  <c r="K101" i="1"/>
  <c r="L101" i="1"/>
  <c r="A102" i="1"/>
  <c r="B102" i="1"/>
  <c r="C102" i="1"/>
  <c r="D102" i="1"/>
  <c r="E102" i="1"/>
  <c r="F102" i="1"/>
  <c r="G102" i="1"/>
  <c r="H102" i="1"/>
  <c r="I102" i="1"/>
  <c r="J102" i="1"/>
  <c r="K102" i="1"/>
  <c r="L102" i="1"/>
  <c r="A103" i="1"/>
  <c r="B103" i="1"/>
  <c r="C103" i="1"/>
  <c r="D103" i="1"/>
  <c r="E103" i="1"/>
  <c r="F103" i="1"/>
  <c r="G103" i="1"/>
  <c r="H103" i="1"/>
  <c r="I103" i="1"/>
  <c r="J103" i="1"/>
  <c r="K103" i="1"/>
  <c r="L103" i="1"/>
  <c r="A104" i="1"/>
  <c r="B104" i="1"/>
  <c r="C104" i="1"/>
  <c r="D104" i="1"/>
  <c r="E104" i="1"/>
  <c r="F104" i="1"/>
  <c r="G104" i="1"/>
  <c r="H104" i="1"/>
  <c r="I104" i="1"/>
  <c r="J104" i="1"/>
  <c r="K104" i="1"/>
  <c r="L104" i="1"/>
  <c r="A105" i="1"/>
  <c r="B105" i="1"/>
  <c r="C105" i="1"/>
  <c r="D105" i="1"/>
  <c r="E105" i="1"/>
  <c r="F105" i="1"/>
  <c r="G105" i="1"/>
  <c r="H105" i="1"/>
  <c r="I105" i="1"/>
  <c r="J105" i="1"/>
  <c r="K105" i="1"/>
  <c r="L105" i="1"/>
  <c r="A106" i="1"/>
  <c r="B106" i="1"/>
  <c r="C106" i="1"/>
  <c r="D106" i="1"/>
  <c r="E106" i="1"/>
  <c r="F106" i="1"/>
  <c r="G106" i="1"/>
  <c r="H106" i="1"/>
  <c r="I106" i="1"/>
  <c r="J106" i="1"/>
  <c r="K106" i="1"/>
  <c r="L106" i="1"/>
  <c r="A107" i="1"/>
  <c r="B107" i="1"/>
  <c r="C107" i="1"/>
  <c r="D107" i="1"/>
  <c r="E107" i="1"/>
  <c r="F107" i="1"/>
  <c r="G107" i="1"/>
  <c r="H107" i="1"/>
  <c r="I107" i="1"/>
  <c r="J107" i="1"/>
  <c r="K107" i="1"/>
  <c r="L107" i="1"/>
  <c r="A108" i="1"/>
  <c r="B108" i="1"/>
  <c r="C108" i="1"/>
  <c r="D108" i="1"/>
  <c r="E108" i="1"/>
  <c r="F108" i="1"/>
  <c r="G108" i="1"/>
  <c r="H108" i="1"/>
  <c r="I108" i="1"/>
  <c r="J108" i="1"/>
  <c r="K108" i="1"/>
  <c r="L108" i="1"/>
  <c r="A109" i="1"/>
  <c r="B109" i="1"/>
  <c r="C109" i="1"/>
  <c r="D109" i="1"/>
  <c r="E109" i="1"/>
  <c r="F109" i="1"/>
  <c r="G109" i="1"/>
  <c r="H109" i="1"/>
  <c r="I109" i="1"/>
  <c r="J109" i="1"/>
  <c r="K109" i="1"/>
  <c r="L109" i="1"/>
  <c r="A110" i="1"/>
  <c r="B110" i="1"/>
  <c r="C110" i="1"/>
  <c r="D110" i="1"/>
  <c r="E110" i="1"/>
  <c r="F110" i="1"/>
  <c r="G110" i="1"/>
  <c r="H110" i="1"/>
  <c r="K110" i="1"/>
  <c r="L110" i="1"/>
  <c r="A111" i="1"/>
  <c r="B111" i="1"/>
  <c r="C111" i="1"/>
  <c r="D111" i="1"/>
  <c r="E111" i="1"/>
  <c r="F111" i="1"/>
  <c r="G111" i="1"/>
  <c r="I111" i="1"/>
  <c r="J111" i="1"/>
  <c r="K111" i="1"/>
  <c r="L111" i="1"/>
  <c r="A112" i="1"/>
  <c r="B112" i="1"/>
  <c r="C112" i="1"/>
  <c r="D112" i="1"/>
  <c r="E112" i="1"/>
  <c r="F112" i="1"/>
  <c r="G112" i="1"/>
  <c r="H112" i="1"/>
  <c r="J112" i="1"/>
  <c r="L112" i="1"/>
  <c r="A113" i="1"/>
  <c r="B113" i="1"/>
  <c r="C113" i="1"/>
  <c r="D113" i="1"/>
  <c r="E113" i="1"/>
  <c r="F113" i="1"/>
  <c r="G113" i="1"/>
  <c r="I113" i="1"/>
  <c r="J113" i="1"/>
  <c r="K113" i="1"/>
  <c r="L113" i="1"/>
  <c r="A114" i="1"/>
  <c r="B114" i="1"/>
  <c r="C114" i="1"/>
  <c r="D114" i="1"/>
  <c r="E114" i="1"/>
  <c r="F114" i="1"/>
  <c r="G114" i="1"/>
  <c r="H114" i="1"/>
  <c r="J114" i="1"/>
  <c r="K114" i="1"/>
  <c r="L114" i="1"/>
  <c r="A115" i="1"/>
  <c r="B115" i="1"/>
  <c r="C115" i="1"/>
  <c r="D115" i="1"/>
  <c r="E115" i="1"/>
  <c r="F115" i="1"/>
  <c r="G115" i="1"/>
  <c r="H115" i="1"/>
  <c r="K115" i="1"/>
  <c r="L115" i="1"/>
  <c r="A116" i="1"/>
  <c r="B116" i="1"/>
  <c r="C116" i="1"/>
  <c r="D116" i="1"/>
  <c r="E116" i="1"/>
  <c r="F116" i="1"/>
  <c r="G116" i="1"/>
  <c r="L116" i="1"/>
  <c r="A117" i="1"/>
  <c r="B117" i="1"/>
  <c r="C117" i="1"/>
  <c r="D117" i="1"/>
  <c r="E117" i="1"/>
  <c r="F117" i="1"/>
  <c r="H117" i="1"/>
  <c r="J117" i="1"/>
  <c r="K117" i="1"/>
  <c r="L117" i="1"/>
  <c r="A118" i="1"/>
  <c r="B118" i="1"/>
  <c r="C118" i="1"/>
  <c r="D118" i="1"/>
  <c r="E118" i="1"/>
  <c r="F118" i="1"/>
  <c r="G118" i="1"/>
  <c r="L118" i="1"/>
  <c r="A119" i="1"/>
  <c r="B119" i="1"/>
  <c r="C119" i="1"/>
  <c r="D119" i="1"/>
  <c r="E119" i="1"/>
  <c r="F119" i="1"/>
  <c r="L119" i="1"/>
  <c r="A120" i="1"/>
  <c r="B120" i="1"/>
  <c r="C120" i="1"/>
  <c r="D120" i="1"/>
  <c r="E120" i="1"/>
  <c r="F120" i="1"/>
  <c r="G120" i="1"/>
  <c r="L120" i="1"/>
  <c r="A121" i="1"/>
  <c r="B121" i="1"/>
  <c r="C121" i="1"/>
  <c r="D121" i="1"/>
  <c r="E121" i="1"/>
  <c r="F121" i="1"/>
  <c r="G121" i="1"/>
  <c r="L121" i="1"/>
  <c r="A122" i="1"/>
  <c r="B122" i="1"/>
  <c r="C122" i="1"/>
  <c r="D122" i="1"/>
  <c r="E122" i="1"/>
  <c r="F122" i="1"/>
  <c r="G122" i="1"/>
  <c r="J122" i="1"/>
  <c r="L122" i="1"/>
  <c r="A123" i="1"/>
  <c r="B123" i="1"/>
  <c r="C123" i="1"/>
  <c r="D123" i="1"/>
  <c r="E123" i="1"/>
  <c r="F123" i="1"/>
  <c r="H123" i="1"/>
  <c r="L123" i="1"/>
  <c r="A124" i="1"/>
  <c r="B124" i="1"/>
  <c r="C124" i="1"/>
  <c r="D124" i="1"/>
  <c r="E124" i="1"/>
  <c r="F124" i="1"/>
  <c r="G124" i="1"/>
  <c r="H124" i="1"/>
  <c r="J124" i="1"/>
  <c r="L124" i="1"/>
  <c r="A125" i="1"/>
  <c r="B125" i="1"/>
  <c r="C125" i="1"/>
  <c r="D125" i="1"/>
  <c r="E125" i="1"/>
  <c r="F125" i="1"/>
  <c r="G125" i="1"/>
  <c r="H125" i="1"/>
  <c r="I125" i="1"/>
  <c r="J125" i="1"/>
  <c r="K125" i="1"/>
  <c r="L125" i="1"/>
  <c r="A126" i="1"/>
  <c r="B126" i="1"/>
  <c r="C126" i="1"/>
  <c r="D126" i="1"/>
  <c r="E126" i="1"/>
  <c r="F126" i="1"/>
  <c r="G126" i="1"/>
  <c r="H126" i="1"/>
  <c r="I126" i="1"/>
  <c r="J126" i="1"/>
  <c r="K126" i="1"/>
  <c r="L126" i="1"/>
  <c r="A127" i="1"/>
  <c r="B127" i="1"/>
  <c r="C127" i="1"/>
  <c r="D127" i="1"/>
  <c r="E127" i="1"/>
  <c r="F127" i="1"/>
  <c r="G127" i="1"/>
  <c r="H127" i="1"/>
  <c r="I127" i="1"/>
  <c r="J127" i="1"/>
  <c r="K127" i="1"/>
  <c r="L127" i="1"/>
  <c r="A128" i="1"/>
  <c r="B128" i="1"/>
  <c r="C128" i="1"/>
  <c r="D128" i="1"/>
  <c r="E128" i="1"/>
  <c r="F128" i="1"/>
  <c r="G128" i="1"/>
  <c r="I128" i="1"/>
  <c r="J128" i="1"/>
  <c r="K128" i="1"/>
  <c r="L128" i="1"/>
  <c r="A129" i="1"/>
  <c r="B129" i="1"/>
  <c r="C129" i="1"/>
  <c r="D129" i="1"/>
  <c r="E129" i="1"/>
  <c r="F129" i="1"/>
  <c r="G129" i="1"/>
  <c r="H129" i="1"/>
  <c r="J129" i="1"/>
  <c r="L129" i="1"/>
  <c r="A130" i="1"/>
  <c r="B130" i="1"/>
  <c r="C130" i="1"/>
  <c r="D130" i="1"/>
  <c r="E130" i="1"/>
  <c r="F130" i="1"/>
  <c r="G130" i="1"/>
  <c r="H130" i="1"/>
  <c r="I130" i="1"/>
  <c r="J130" i="1"/>
  <c r="K130" i="1"/>
  <c r="L130" i="1"/>
  <c r="A131" i="1"/>
  <c r="B131" i="1"/>
  <c r="C131" i="1"/>
  <c r="D131" i="1"/>
  <c r="E131" i="1"/>
  <c r="F131" i="1"/>
  <c r="G131" i="1"/>
  <c r="H131" i="1"/>
  <c r="I131" i="1"/>
  <c r="J131" i="1"/>
  <c r="K131" i="1"/>
  <c r="L131" i="1"/>
  <c r="A132" i="1"/>
  <c r="B132" i="1"/>
  <c r="C132" i="1"/>
  <c r="D132" i="1"/>
  <c r="E132" i="1"/>
  <c r="F132" i="1"/>
  <c r="G132" i="1"/>
  <c r="H132" i="1"/>
  <c r="I132" i="1"/>
  <c r="J132" i="1"/>
  <c r="K132" i="1"/>
  <c r="L132" i="1"/>
  <c r="A133" i="1"/>
  <c r="B133" i="1"/>
  <c r="C133" i="1"/>
  <c r="D133" i="1"/>
  <c r="E133" i="1"/>
  <c r="F133" i="1"/>
  <c r="G133" i="1"/>
  <c r="J133" i="1"/>
  <c r="L133" i="1"/>
  <c r="A134" i="1"/>
  <c r="B134" i="1"/>
  <c r="C134" i="1"/>
  <c r="D134" i="1"/>
  <c r="E134" i="1"/>
  <c r="F134" i="1"/>
  <c r="G134" i="1"/>
  <c r="H134" i="1"/>
  <c r="J134" i="1"/>
  <c r="K134" i="1"/>
  <c r="L134" i="1"/>
  <c r="A135" i="1"/>
  <c r="B135" i="1"/>
  <c r="C135" i="1"/>
  <c r="D135" i="1"/>
  <c r="E135" i="1"/>
  <c r="F135" i="1"/>
  <c r="G135" i="1"/>
  <c r="J135" i="1"/>
  <c r="L135" i="1"/>
  <c r="A136" i="1"/>
  <c r="B136" i="1"/>
  <c r="C136" i="1"/>
  <c r="D136" i="1"/>
  <c r="E136" i="1"/>
  <c r="F136" i="1"/>
  <c r="G136" i="1"/>
  <c r="H136" i="1"/>
  <c r="J136" i="1"/>
  <c r="L136" i="1"/>
  <c r="A137" i="1"/>
  <c r="B137" i="1"/>
  <c r="C137" i="1"/>
  <c r="D137" i="1"/>
  <c r="E137" i="1"/>
  <c r="F137" i="1"/>
  <c r="G137" i="1"/>
  <c r="H137" i="1"/>
  <c r="J137" i="1"/>
  <c r="L137" i="1"/>
  <c r="A138" i="1"/>
  <c r="B138" i="1"/>
  <c r="C138" i="1"/>
  <c r="D138" i="1"/>
  <c r="E138" i="1"/>
  <c r="F138" i="1"/>
  <c r="G138" i="1"/>
  <c r="H138" i="1"/>
  <c r="J138" i="1"/>
  <c r="L138" i="1"/>
  <c r="A139" i="1"/>
  <c r="B139" i="1"/>
  <c r="C139" i="1"/>
  <c r="D139" i="1"/>
  <c r="E139" i="1"/>
  <c r="F139" i="1"/>
  <c r="G139" i="1"/>
  <c r="J139" i="1"/>
  <c r="K139" i="1"/>
  <c r="L139" i="1"/>
  <c r="A140" i="1"/>
  <c r="B140" i="1"/>
  <c r="C140" i="1"/>
  <c r="D140" i="1"/>
  <c r="E140" i="1"/>
  <c r="F140" i="1"/>
  <c r="G140" i="1"/>
  <c r="J140" i="1"/>
  <c r="K140" i="1"/>
  <c r="L140" i="1"/>
  <c r="A141" i="1"/>
  <c r="B141" i="1"/>
  <c r="C141" i="1"/>
  <c r="D141" i="1"/>
  <c r="E141" i="1"/>
  <c r="F141" i="1"/>
  <c r="G141" i="1"/>
  <c r="K141" i="1"/>
  <c r="L141" i="1"/>
  <c r="A142" i="1"/>
  <c r="B142" i="1"/>
  <c r="C142" i="1"/>
  <c r="D142" i="1"/>
  <c r="E142" i="1"/>
  <c r="F142" i="1"/>
  <c r="G142" i="1"/>
  <c r="I142" i="1"/>
  <c r="J142" i="1"/>
  <c r="K142" i="1"/>
  <c r="L142" i="1"/>
  <c r="A143" i="1"/>
  <c r="B143" i="1"/>
  <c r="C143" i="1"/>
  <c r="D143" i="1"/>
  <c r="E143" i="1"/>
  <c r="F143" i="1"/>
  <c r="H143" i="1"/>
  <c r="I143" i="1"/>
  <c r="J143" i="1"/>
  <c r="K143" i="1"/>
  <c r="L143" i="1"/>
  <c r="A144" i="1"/>
  <c r="B144" i="1"/>
  <c r="C144" i="1"/>
  <c r="D144" i="1"/>
  <c r="E144" i="1"/>
  <c r="F144" i="1"/>
  <c r="G144" i="1"/>
  <c r="K144" i="1"/>
  <c r="L144" i="1"/>
  <c r="A145" i="1"/>
  <c r="B145" i="1"/>
  <c r="C145" i="1"/>
  <c r="D145" i="1"/>
  <c r="E145" i="1"/>
  <c r="F145" i="1"/>
  <c r="G145" i="1"/>
  <c r="H145" i="1"/>
  <c r="J145" i="1"/>
  <c r="L145" i="1"/>
  <c r="A146" i="1"/>
  <c r="B146" i="1"/>
  <c r="C146" i="1"/>
  <c r="D146" i="1"/>
  <c r="E146" i="1"/>
  <c r="F146" i="1"/>
  <c r="G146" i="1"/>
  <c r="I146" i="1"/>
  <c r="K146" i="1"/>
  <c r="L146" i="1"/>
  <c r="A147" i="1"/>
  <c r="B147" i="1"/>
  <c r="C147" i="1"/>
  <c r="D147" i="1"/>
  <c r="E147" i="1"/>
  <c r="F147" i="1"/>
  <c r="H147" i="1"/>
  <c r="J147" i="1"/>
  <c r="L147" i="1"/>
  <c r="A148" i="1"/>
  <c r="B148" i="1"/>
  <c r="C148" i="1"/>
  <c r="D148" i="1"/>
  <c r="E148" i="1"/>
  <c r="F148" i="1"/>
  <c r="G148" i="1"/>
  <c r="H148" i="1"/>
  <c r="I148" i="1"/>
  <c r="J148" i="1"/>
  <c r="K148" i="1"/>
  <c r="L148" i="1"/>
  <c r="A149" i="1"/>
  <c r="B149" i="1"/>
  <c r="C149" i="1"/>
  <c r="D149" i="1"/>
  <c r="E149" i="1"/>
  <c r="F149" i="1"/>
  <c r="G149" i="1"/>
  <c r="H149" i="1"/>
  <c r="I149" i="1"/>
  <c r="J149" i="1"/>
  <c r="K149" i="1"/>
  <c r="L149" i="1"/>
  <c r="A150" i="1"/>
  <c r="B150" i="1"/>
  <c r="C150" i="1"/>
  <c r="D150" i="1"/>
  <c r="E150" i="1"/>
  <c r="F150" i="1"/>
  <c r="G150" i="1"/>
  <c r="J150" i="1"/>
  <c r="L150" i="1"/>
  <c r="A151" i="1"/>
  <c r="B151" i="1"/>
  <c r="C151" i="1"/>
  <c r="D151" i="1"/>
  <c r="E151" i="1"/>
  <c r="F151" i="1"/>
  <c r="G151" i="1"/>
  <c r="J151" i="1"/>
  <c r="K151" i="1"/>
  <c r="L151" i="1"/>
  <c r="A152" i="1"/>
  <c r="B152" i="1"/>
  <c r="C152" i="1"/>
  <c r="D152" i="1"/>
  <c r="E152" i="1"/>
  <c r="F152" i="1"/>
  <c r="G152" i="1"/>
  <c r="I152" i="1"/>
  <c r="J152" i="1"/>
  <c r="K152" i="1"/>
  <c r="L152" i="1"/>
  <c r="A153" i="1"/>
  <c r="B153" i="1"/>
  <c r="C153" i="1"/>
  <c r="D153" i="1"/>
  <c r="E153" i="1"/>
  <c r="F153" i="1"/>
  <c r="G153" i="1"/>
  <c r="J153" i="1"/>
  <c r="K153" i="1"/>
  <c r="L153" i="1"/>
  <c r="A154" i="1"/>
  <c r="B154" i="1"/>
  <c r="C154" i="1"/>
  <c r="D154" i="1"/>
  <c r="E154" i="1"/>
  <c r="F154" i="1"/>
  <c r="G154" i="1"/>
  <c r="J154" i="1"/>
  <c r="K154" i="1"/>
  <c r="L154" i="1"/>
  <c r="A155" i="1"/>
  <c r="B155" i="1"/>
  <c r="C155" i="1"/>
  <c r="D155" i="1"/>
  <c r="E155" i="1"/>
  <c r="F155" i="1"/>
  <c r="G155" i="1"/>
  <c r="I155" i="1"/>
  <c r="J155" i="1"/>
  <c r="K155" i="1"/>
  <c r="L155" i="1"/>
  <c r="A156" i="1"/>
  <c r="B156" i="1"/>
  <c r="C156" i="1"/>
  <c r="D156" i="1"/>
  <c r="E156" i="1"/>
  <c r="F156" i="1"/>
  <c r="G156" i="1"/>
  <c r="H156" i="1"/>
  <c r="I156" i="1"/>
  <c r="J156" i="1"/>
  <c r="K156" i="1"/>
  <c r="L156" i="1"/>
  <c r="A157" i="1"/>
  <c r="B157" i="1"/>
  <c r="C157" i="1"/>
  <c r="D157" i="1"/>
  <c r="E157" i="1"/>
  <c r="F157" i="1"/>
  <c r="G157" i="1"/>
  <c r="H157" i="1"/>
  <c r="I157" i="1"/>
  <c r="J157" i="1"/>
  <c r="K157" i="1"/>
  <c r="L157" i="1"/>
  <c r="A158" i="1"/>
  <c r="B158" i="1"/>
  <c r="C158" i="1"/>
  <c r="D158" i="1"/>
  <c r="E158" i="1"/>
  <c r="F158" i="1"/>
  <c r="G158" i="1"/>
  <c r="H158" i="1"/>
  <c r="J158" i="1"/>
  <c r="L158" i="1"/>
  <c r="A159" i="1"/>
  <c r="B159" i="1"/>
  <c r="C159" i="1"/>
  <c r="D159" i="1"/>
  <c r="E159" i="1"/>
  <c r="F159" i="1"/>
  <c r="G159" i="1"/>
  <c r="H159" i="1"/>
  <c r="J159" i="1"/>
  <c r="L159" i="1"/>
  <c r="A160" i="1"/>
  <c r="B160" i="1"/>
  <c r="C160" i="1"/>
  <c r="D160" i="1"/>
  <c r="E160" i="1"/>
  <c r="F160" i="1"/>
  <c r="G160" i="1"/>
  <c r="H160" i="1"/>
  <c r="J160" i="1"/>
  <c r="L160" i="1"/>
  <c r="A161" i="1"/>
  <c r="B161" i="1"/>
  <c r="C161" i="1"/>
  <c r="D161" i="1"/>
  <c r="E161" i="1"/>
  <c r="F161" i="1"/>
  <c r="I161" i="1"/>
  <c r="J161" i="1"/>
  <c r="K161" i="1"/>
  <c r="L161" i="1"/>
  <c r="A162" i="1"/>
  <c r="B162" i="1"/>
  <c r="C162" i="1"/>
  <c r="D162" i="1"/>
  <c r="E162" i="1"/>
  <c r="F162" i="1"/>
  <c r="G162" i="1"/>
  <c r="J162" i="1"/>
  <c r="K162" i="1"/>
  <c r="L162" i="1"/>
  <c r="A163" i="1"/>
  <c r="B163" i="1"/>
  <c r="C163" i="1"/>
  <c r="D163" i="1"/>
  <c r="E163" i="1"/>
  <c r="F163" i="1"/>
  <c r="G163" i="1"/>
  <c r="H163" i="1"/>
  <c r="I163" i="1"/>
  <c r="J163" i="1"/>
  <c r="K163" i="1"/>
  <c r="L163" i="1"/>
  <c r="A164" i="1"/>
  <c r="B164" i="1"/>
  <c r="C164" i="1"/>
  <c r="D164" i="1"/>
  <c r="E164" i="1"/>
  <c r="F164" i="1"/>
  <c r="G164" i="1"/>
  <c r="J164" i="1"/>
  <c r="L164" i="1"/>
  <c r="A165" i="1"/>
  <c r="B165" i="1"/>
  <c r="C165" i="1"/>
  <c r="D165" i="1"/>
  <c r="E165" i="1"/>
  <c r="F165" i="1"/>
  <c r="G165" i="1"/>
  <c r="H165" i="1"/>
  <c r="L165" i="1"/>
  <c r="A166" i="1"/>
  <c r="B166" i="1"/>
  <c r="C166" i="1"/>
  <c r="D166" i="1"/>
  <c r="E166" i="1"/>
  <c r="F166" i="1"/>
  <c r="G166" i="1"/>
  <c r="H166" i="1"/>
  <c r="J166" i="1"/>
  <c r="K166" i="1"/>
  <c r="L166" i="1"/>
  <c r="A167" i="1"/>
  <c r="B167" i="1"/>
  <c r="C167" i="1"/>
  <c r="D167" i="1"/>
  <c r="E167" i="1"/>
  <c r="F167" i="1"/>
  <c r="G167" i="1"/>
  <c r="H167" i="1"/>
  <c r="J167" i="1"/>
  <c r="K167" i="1"/>
  <c r="L167" i="1"/>
  <c r="A168" i="1"/>
  <c r="B168" i="1"/>
  <c r="C168" i="1"/>
  <c r="D168" i="1"/>
  <c r="E168" i="1"/>
  <c r="F168" i="1"/>
  <c r="G168" i="1"/>
  <c r="J168" i="1"/>
  <c r="K168" i="1"/>
  <c r="L168" i="1"/>
  <c r="A169" i="1"/>
  <c r="B169" i="1"/>
  <c r="C169" i="1"/>
  <c r="D169" i="1"/>
  <c r="E169" i="1"/>
  <c r="F169" i="1"/>
  <c r="G169" i="1"/>
  <c r="H169" i="1"/>
  <c r="L169" i="1"/>
  <c r="A170" i="1"/>
  <c r="B170" i="1"/>
  <c r="C170" i="1"/>
  <c r="D170" i="1"/>
  <c r="E170" i="1"/>
  <c r="F170" i="1"/>
  <c r="G170" i="1"/>
  <c r="L170" i="1"/>
  <c r="A171" i="1"/>
  <c r="B171" i="1"/>
  <c r="C171" i="1"/>
  <c r="D171" i="1"/>
  <c r="E171" i="1"/>
  <c r="F171" i="1"/>
  <c r="G171" i="1"/>
  <c r="K171" i="1"/>
  <c r="L171" i="1"/>
  <c r="A172" i="1"/>
  <c r="B172" i="1"/>
  <c r="C172" i="1"/>
  <c r="D172" i="1"/>
  <c r="E172" i="1"/>
  <c r="F172" i="1"/>
  <c r="G172" i="1"/>
  <c r="I172" i="1"/>
  <c r="J172" i="1"/>
  <c r="K172" i="1"/>
  <c r="L172" i="1"/>
  <c r="A173" i="1"/>
  <c r="B173" i="1"/>
  <c r="C173" i="1"/>
  <c r="D173" i="1"/>
  <c r="E173" i="1"/>
  <c r="F173" i="1"/>
  <c r="H173" i="1"/>
  <c r="I173" i="1"/>
  <c r="J173" i="1"/>
  <c r="K173" i="1"/>
  <c r="L173" i="1"/>
  <c r="A174" i="1"/>
  <c r="B174" i="1"/>
  <c r="C174" i="1"/>
  <c r="D174" i="1"/>
  <c r="E174" i="1"/>
  <c r="G174" i="1"/>
  <c r="H174" i="1"/>
  <c r="J174" i="1"/>
  <c r="L174" i="1"/>
  <c r="A175" i="1"/>
  <c r="B175" i="1"/>
  <c r="C175" i="1"/>
  <c r="D175" i="1"/>
  <c r="E175" i="1"/>
  <c r="F175" i="1"/>
  <c r="G175" i="1"/>
  <c r="J175" i="1"/>
  <c r="L175" i="1"/>
  <c r="A176" i="1"/>
  <c r="B176" i="1"/>
  <c r="C176" i="1"/>
  <c r="D176" i="1"/>
  <c r="E176" i="1"/>
  <c r="F176" i="1"/>
  <c r="G176" i="1"/>
  <c r="J176" i="1"/>
  <c r="L176" i="1"/>
  <c r="A177" i="1"/>
  <c r="B177" i="1"/>
  <c r="C177" i="1"/>
  <c r="D177" i="1"/>
  <c r="E177" i="1"/>
  <c r="F177" i="1"/>
  <c r="G177" i="1"/>
  <c r="I177" i="1"/>
  <c r="J177" i="1"/>
  <c r="K177" i="1"/>
  <c r="L177" i="1"/>
  <c r="A178" i="1"/>
  <c r="B178" i="1"/>
  <c r="C178" i="1"/>
  <c r="D178" i="1"/>
  <c r="E178" i="1"/>
  <c r="F178" i="1"/>
  <c r="G178" i="1"/>
  <c r="J178" i="1"/>
  <c r="L178" i="1"/>
  <c r="A179" i="1"/>
  <c r="B179" i="1"/>
  <c r="C179" i="1"/>
  <c r="D179" i="1"/>
  <c r="E179" i="1"/>
  <c r="G179" i="1"/>
  <c r="I179" i="1"/>
  <c r="J179" i="1"/>
  <c r="L179" i="1"/>
  <c r="A180" i="1"/>
  <c r="B180" i="1"/>
  <c r="C180" i="1"/>
  <c r="D180" i="1"/>
  <c r="E180" i="1"/>
  <c r="F180" i="1"/>
  <c r="G180" i="1"/>
  <c r="H180" i="1"/>
  <c r="J180" i="1"/>
  <c r="L180" i="1"/>
  <c r="A181" i="1"/>
  <c r="B181" i="1"/>
  <c r="C181" i="1"/>
  <c r="D181" i="1"/>
  <c r="E181" i="1"/>
  <c r="F181" i="1"/>
  <c r="G181" i="1"/>
  <c r="J181" i="1"/>
  <c r="L181" i="1"/>
  <c r="A182" i="1"/>
  <c r="B182" i="1"/>
  <c r="C182" i="1"/>
  <c r="D182" i="1"/>
  <c r="E182" i="1"/>
  <c r="F182" i="1"/>
  <c r="G182" i="1"/>
  <c r="L182" i="1"/>
  <c r="A183" i="1"/>
  <c r="B183" i="1"/>
  <c r="C183" i="1"/>
  <c r="D183" i="1"/>
  <c r="E183" i="1"/>
  <c r="F183" i="1"/>
  <c r="G183" i="1"/>
  <c r="H183" i="1"/>
  <c r="I183" i="1"/>
  <c r="J183" i="1"/>
  <c r="K183" i="1"/>
  <c r="L183" i="1"/>
  <c r="A184" i="1"/>
  <c r="B184" i="1"/>
  <c r="C184" i="1"/>
  <c r="D184" i="1"/>
  <c r="E184" i="1"/>
  <c r="F184" i="1"/>
  <c r="G184" i="1"/>
  <c r="L184" i="1"/>
  <c r="A185" i="1"/>
  <c r="B185" i="1"/>
  <c r="C185" i="1"/>
  <c r="D185" i="1"/>
  <c r="E185" i="1"/>
  <c r="F185" i="1"/>
  <c r="H185" i="1"/>
  <c r="J185" i="1"/>
  <c r="L185" i="1"/>
  <c r="A186" i="1"/>
  <c r="B186" i="1"/>
  <c r="C186" i="1"/>
  <c r="D186" i="1"/>
  <c r="E186" i="1"/>
  <c r="G186" i="1"/>
  <c r="J186" i="1"/>
  <c r="L186" i="1"/>
  <c r="A187" i="1"/>
  <c r="B187" i="1"/>
  <c r="C187" i="1"/>
  <c r="D187" i="1"/>
  <c r="E187" i="1"/>
  <c r="F187" i="1"/>
  <c r="G187" i="1"/>
  <c r="H187" i="1"/>
  <c r="L187" i="1"/>
  <c r="A188" i="1"/>
  <c r="B188" i="1"/>
  <c r="C188" i="1"/>
  <c r="D188" i="1"/>
  <c r="E188" i="1"/>
  <c r="F188" i="1"/>
  <c r="G188" i="1"/>
  <c r="K188" i="1"/>
  <c r="L188" i="1"/>
  <c r="A189" i="1"/>
  <c r="B189" i="1"/>
  <c r="C189" i="1"/>
  <c r="D189" i="1"/>
  <c r="E189" i="1"/>
  <c r="G189" i="1"/>
  <c r="H189" i="1"/>
  <c r="J189" i="1"/>
  <c r="L189" i="1"/>
  <c r="A190" i="1"/>
  <c r="B190" i="1"/>
  <c r="C190" i="1"/>
  <c r="D190" i="1"/>
  <c r="E190" i="1"/>
  <c r="G190" i="1"/>
  <c r="H190" i="1"/>
  <c r="L190" i="1"/>
  <c r="A191" i="1"/>
  <c r="B191" i="1"/>
  <c r="C191" i="1"/>
  <c r="D191" i="1"/>
  <c r="E191" i="1"/>
  <c r="G191" i="1"/>
  <c r="I191" i="1"/>
  <c r="J191" i="1"/>
  <c r="K191" i="1"/>
  <c r="L191" i="1"/>
  <c r="A192" i="1"/>
  <c r="B192" i="1"/>
  <c r="C192" i="1"/>
  <c r="D192" i="1"/>
  <c r="E192" i="1"/>
  <c r="J192" i="1"/>
  <c r="L192" i="1"/>
  <c r="A193" i="1"/>
  <c r="B193" i="1"/>
  <c r="C193" i="1"/>
  <c r="D193" i="1"/>
  <c r="E193" i="1"/>
  <c r="F193" i="1"/>
  <c r="G193" i="1"/>
  <c r="H193" i="1"/>
  <c r="J193" i="1"/>
  <c r="L193" i="1"/>
  <c r="A194" i="1"/>
  <c r="B194" i="1"/>
  <c r="C194" i="1"/>
  <c r="D194" i="1"/>
  <c r="E194" i="1"/>
  <c r="G194" i="1"/>
  <c r="H194" i="1"/>
  <c r="J194" i="1"/>
  <c r="K194" i="1"/>
  <c r="L194" i="1"/>
  <c r="A195" i="1"/>
  <c r="B195" i="1"/>
  <c r="C195" i="1"/>
  <c r="D195" i="1"/>
  <c r="E195" i="1"/>
  <c r="G195" i="1"/>
  <c r="H195" i="1"/>
  <c r="J195" i="1"/>
  <c r="K195" i="1"/>
  <c r="L195" i="1"/>
  <c r="A196" i="1"/>
  <c r="B196" i="1"/>
  <c r="C196" i="1"/>
  <c r="D196" i="1"/>
  <c r="E196" i="1"/>
  <c r="G196" i="1"/>
  <c r="H196" i="1"/>
  <c r="L196" i="1"/>
  <c r="A197" i="1"/>
  <c r="B197" i="1"/>
  <c r="C197" i="1"/>
  <c r="D197" i="1"/>
  <c r="E197" i="1"/>
  <c r="G197" i="1"/>
  <c r="H197" i="1"/>
  <c r="L197" i="1"/>
  <c r="A198" i="1"/>
  <c r="B198" i="1"/>
  <c r="C198" i="1"/>
  <c r="D198" i="1"/>
  <c r="E198" i="1"/>
  <c r="F198" i="1"/>
  <c r="G198" i="1"/>
  <c r="L198" i="1"/>
  <c r="A199" i="1"/>
  <c r="B199" i="1"/>
  <c r="C199" i="1"/>
  <c r="D199" i="1"/>
  <c r="E199" i="1"/>
  <c r="F199" i="1"/>
  <c r="H199" i="1"/>
  <c r="I199" i="1"/>
  <c r="J199" i="1"/>
  <c r="K199" i="1"/>
  <c r="L199" i="1"/>
  <c r="A200" i="1"/>
  <c r="B200" i="1"/>
  <c r="C200" i="1"/>
  <c r="D200" i="1"/>
  <c r="E200" i="1"/>
  <c r="F200" i="1"/>
  <c r="G200" i="1"/>
  <c r="L200" i="1"/>
  <c r="A201" i="1"/>
  <c r="B201" i="1"/>
  <c r="C201" i="1"/>
  <c r="D201" i="1"/>
  <c r="E201" i="1"/>
  <c r="F201" i="1"/>
  <c r="L201" i="1"/>
  <c r="A202" i="1"/>
  <c r="B202" i="1"/>
  <c r="C202" i="1"/>
  <c r="D202" i="1"/>
  <c r="E202" i="1"/>
  <c r="F202" i="1"/>
  <c r="G202" i="1"/>
  <c r="H202" i="1"/>
  <c r="L202" i="1"/>
  <c r="A203" i="1"/>
  <c r="B203" i="1"/>
  <c r="C203" i="1"/>
  <c r="D203" i="1"/>
  <c r="E203" i="1"/>
  <c r="G203" i="1"/>
  <c r="H203" i="1"/>
  <c r="I203" i="1"/>
  <c r="J203" i="1"/>
  <c r="K203" i="1"/>
  <c r="L203" i="1"/>
  <c r="A204" i="1"/>
  <c r="B204" i="1"/>
  <c r="C204" i="1"/>
  <c r="D204" i="1"/>
  <c r="E204" i="1"/>
  <c r="G204" i="1"/>
  <c r="H204" i="1"/>
  <c r="J204" i="1"/>
  <c r="K204" i="1"/>
  <c r="L204" i="1"/>
  <c r="A205" i="1"/>
  <c r="B205" i="1"/>
  <c r="C205" i="1"/>
  <c r="D205" i="1"/>
  <c r="E205" i="1"/>
  <c r="F205" i="1"/>
  <c r="G205" i="1"/>
  <c r="I205" i="1"/>
  <c r="J205" i="1"/>
  <c r="K205" i="1"/>
  <c r="L205" i="1"/>
  <c r="A206" i="1"/>
  <c r="B206" i="1"/>
  <c r="C206" i="1"/>
  <c r="D206" i="1"/>
  <c r="E206" i="1"/>
  <c r="F206" i="1"/>
  <c r="G206" i="1"/>
  <c r="H206" i="1"/>
  <c r="J206" i="1"/>
  <c r="L206" i="1"/>
  <c r="A207" i="1"/>
  <c r="B207" i="1"/>
  <c r="C207" i="1"/>
  <c r="D207" i="1"/>
  <c r="E207" i="1"/>
  <c r="F207" i="1"/>
  <c r="G207" i="1"/>
  <c r="H207" i="1"/>
  <c r="I207" i="1"/>
  <c r="J207" i="1"/>
  <c r="L207" i="1"/>
  <c r="A208" i="1"/>
  <c r="B208" i="1"/>
  <c r="C208" i="1"/>
  <c r="D208" i="1"/>
  <c r="E208" i="1"/>
  <c r="F208" i="1"/>
  <c r="G208" i="1"/>
  <c r="H208" i="1"/>
  <c r="J208" i="1"/>
  <c r="K208" i="1"/>
  <c r="L208" i="1"/>
  <c r="A209" i="1"/>
  <c r="B209" i="1"/>
  <c r="C209" i="1"/>
  <c r="D209" i="1"/>
  <c r="E209" i="1"/>
  <c r="F209" i="1"/>
  <c r="G209" i="1"/>
  <c r="L209" i="1"/>
  <c r="A210" i="1"/>
  <c r="B210" i="1"/>
  <c r="C210" i="1"/>
  <c r="D210" i="1"/>
  <c r="E210" i="1"/>
  <c r="F210" i="1"/>
  <c r="G210" i="1"/>
  <c r="H210" i="1"/>
  <c r="L210" i="1"/>
  <c r="A211" i="1"/>
  <c r="B211" i="1"/>
  <c r="C211" i="1"/>
  <c r="D211" i="1"/>
  <c r="E211" i="1"/>
  <c r="F211" i="1"/>
  <c r="G211" i="1"/>
  <c r="H211" i="1"/>
  <c r="K211" i="1"/>
  <c r="L211" i="1"/>
  <c r="A212" i="1"/>
  <c r="B212" i="1"/>
  <c r="C212" i="1"/>
  <c r="D212" i="1"/>
  <c r="E212" i="1"/>
  <c r="G212" i="1"/>
  <c r="H212" i="1"/>
  <c r="L212" i="1"/>
  <c r="A213" i="1"/>
  <c r="B213" i="1"/>
  <c r="C213" i="1"/>
  <c r="D213" i="1"/>
  <c r="E213" i="1"/>
  <c r="F213" i="1"/>
  <c r="G213" i="1"/>
  <c r="L213" i="1"/>
  <c r="A214" i="1"/>
  <c r="B214" i="1"/>
  <c r="C214" i="1"/>
  <c r="D214" i="1"/>
  <c r="E214" i="1"/>
  <c r="F214" i="1"/>
  <c r="G214" i="1"/>
  <c r="L214" i="1"/>
  <c r="A215" i="1"/>
  <c r="B215" i="1"/>
  <c r="C215" i="1"/>
  <c r="D215" i="1"/>
  <c r="E215" i="1"/>
  <c r="F215" i="1"/>
  <c r="G215" i="1"/>
  <c r="H215" i="1"/>
  <c r="I215" i="1"/>
  <c r="J215" i="1"/>
  <c r="K215" i="1"/>
  <c r="L215" i="1"/>
  <c r="A216" i="1"/>
  <c r="B216" i="1"/>
  <c r="C216" i="1"/>
  <c r="D216" i="1"/>
  <c r="E216" i="1"/>
  <c r="F216" i="1"/>
  <c r="G216" i="1"/>
  <c r="H216" i="1"/>
  <c r="L216" i="1"/>
  <c r="A217" i="1"/>
  <c r="B217" i="1"/>
  <c r="C217" i="1"/>
  <c r="D217" i="1"/>
  <c r="E217" i="1"/>
  <c r="F217" i="1"/>
  <c r="G217" i="1"/>
  <c r="L217" i="1"/>
  <c r="A218" i="1"/>
  <c r="B218" i="1"/>
  <c r="C218" i="1"/>
  <c r="D218" i="1"/>
  <c r="E218" i="1"/>
  <c r="F218" i="1"/>
  <c r="G218" i="1"/>
  <c r="H218" i="1"/>
  <c r="I218" i="1"/>
  <c r="J218" i="1"/>
  <c r="L218" i="1"/>
  <c r="A219" i="1"/>
  <c r="B219" i="1"/>
  <c r="C219" i="1"/>
  <c r="D219" i="1"/>
  <c r="E219" i="1"/>
  <c r="F219" i="1"/>
  <c r="G219" i="1"/>
  <c r="H219" i="1"/>
  <c r="I219" i="1"/>
  <c r="J219" i="1"/>
  <c r="K219" i="1"/>
  <c r="L219" i="1"/>
  <c r="A220" i="1"/>
  <c r="B220" i="1"/>
  <c r="C220" i="1"/>
  <c r="D220" i="1"/>
  <c r="E220" i="1"/>
  <c r="F220" i="1"/>
  <c r="G220" i="1"/>
  <c r="H220" i="1"/>
  <c r="I220" i="1"/>
  <c r="J220" i="1"/>
  <c r="K220" i="1"/>
  <c r="L220" i="1"/>
  <c r="A221" i="1"/>
  <c r="B221" i="1"/>
  <c r="C221" i="1"/>
  <c r="D221" i="1"/>
  <c r="E221" i="1"/>
  <c r="F221" i="1"/>
  <c r="G221" i="1"/>
  <c r="H221" i="1"/>
  <c r="I221" i="1"/>
  <c r="J221" i="1"/>
  <c r="K221" i="1"/>
  <c r="L221" i="1"/>
  <c r="A222" i="1"/>
  <c r="B222" i="1"/>
  <c r="C222" i="1"/>
  <c r="D222" i="1"/>
  <c r="E222" i="1"/>
  <c r="F222" i="1"/>
  <c r="G222" i="1"/>
  <c r="H222" i="1"/>
  <c r="I222" i="1"/>
  <c r="J222" i="1"/>
  <c r="K222" i="1"/>
  <c r="L222" i="1"/>
  <c r="A223" i="1"/>
  <c r="B223" i="1"/>
  <c r="C223" i="1"/>
  <c r="D223" i="1"/>
  <c r="E223" i="1"/>
  <c r="F223" i="1"/>
  <c r="G223" i="1"/>
  <c r="H223" i="1"/>
  <c r="I223" i="1"/>
  <c r="J223" i="1"/>
  <c r="K223" i="1"/>
  <c r="L223" i="1"/>
  <c r="A224" i="1"/>
  <c r="B224" i="1"/>
  <c r="C224" i="1"/>
  <c r="D224" i="1"/>
  <c r="E224" i="1"/>
  <c r="F224" i="1"/>
  <c r="G224" i="1"/>
  <c r="H224" i="1"/>
  <c r="I224" i="1"/>
  <c r="J224" i="1"/>
  <c r="K224" i="1"/>
  <c r="L224" i="1"/>
  <c r="A225" i="1"/>
  <c r="B225" i="1"/>
  <c r="C225" i="1"/>
  <c r="D225" i="1"/>
  <c r="E225" i="1"/>
  <c r="F225" i="1"/>
  <c r="G225" i="1"/>
  <c r="H225" i="1"/>
  <c r="I225" i="1"/>
  <c r="J225" i="1"/>
  <c r="K225" i="1"/>
  <c r="L225" i="1"/>
  <c r="A226" i="1"/>
  <c r="B226" i="1"/>
  <c r="C226" i="1"/>
  <c r="D226" i="1"/>
  <c r="E226" i="1"/>
  <c r="F226" i="1"/>
  <c r="G226" i="1"/>
  <c r="L226" i="1"/>
  <c r="A227" i="1"/>
  <c r="B227" i="1"/>
  <c r="C227" i="1"/>
  <c r="D227" i="1"/>
  <c r="E227" i="1"/>
  <c r="F227" i="1"/>
  <c r="G227" i="1"/>
  <c r="L227" i="1"/>
  <c r="A228" i="1"/>
  <c r="B228" i="1"/>
  <c r="C228" i="1"/>
  <c r="D228" i="1"/>
  <c r="E228" i="1"/>
  <c r="F228" i="1"/>
  <c r="G228" i="1"/>
  <c r="L228" i="1"/>
  <c r="A229" i="1"/>
  <c r="B229" i="1"/>
  <c r="C229" i="1"/>
  <c r="D229" i="1"/>
  <c r="E229" i="1"/>
  <c r="F229" i="1"/>
  <c r="G229" i="1"/>
  <c r="A230" i="1"/>
  <c r="B230" i="1"/>
  <c r="C230" i="1"/>
  <c r="D230" i="1"/>
  <c r="E230" i="1"/>
  <c r="F230" i="1"/>
  <c r="G230" i="1"/>
  <c r="H230" i="1"/>
  <c r="I230" i="1"/>
  <c r="K230" i="1"/>
  <c r="L230" i="1"/>
  <c r="A231" i="1"/>
  <c r="B231" i="1"/>
  <c r="C231" i="1"/>
  <c r="D231" i="1"/>
  <c r="E231" i="1"/>
  <c r="F231" i="1"/>
  <c r="G231" i="1"/>
  <c r="H231" i="1"/>
  <c r="I231" i="1"/>
  <c r="J231" i="1"/>
  <c r="K231" i="1"/>
  <c r="L231" i="1"/>
  <c r="A232" i="1"/>
  <c r="B232" i="1"/>
  <c r="C232" i="1"/>
  <c r="D232" i="1"/>
  <c r="E232" i="1"/>
  <c r="F232" i="1"/>
  <c r="G232" i="1"/>
  <c r="J232" i="1"/>
  <c r="K232" i="1"/>
  <c r="L232" i="1"/>
  <c r="A233" i="1"/>
  <c r="B233" i="1"/>
  <c r="C233" i="1"/>
  <c r="D233" i="1"/>
  <c r="E233" i="1"/>
  <c r="F233" i="1"/>
  <c r="G233" i="1"/>
  <c r="H233" i="1"/>
  <c r="I233" i="1"/>
  <c r="J233" i="1"/>
  <c r="K233" i="1"/>
  <c r="L233" i="1"/>
  <c r="A234" i="1"/>
  <c r="B234" i="1"/>
  <c r="C234" i="1"/>
  <c r="D234" i="1"/>
  <c r="E234" i="1"/>
  <c r="F234" i="1"/>
  <c r="G234" i="1"/>
  <c r="H234" i="1"/>
  <c r="J234" i="1"/>
  <c r="L234" i="1"/>
  <c r="A235" i="1"/>
  <c r="B235" i="1"/>
  <c r="C235" i="1"/>
  <c r="D235" i="1"/>
  <c r="E235" i="1"/>
  <c r="F235" i="1"/>
  <c r="G235" i="1"/>
  <c r="J235" i="1"/>
  <c r="L235" i="1"/>
  <c r="A236" i="1"/>
  <c r="B236" i="1"/>
  <c r="C236" i="1"/>
  <c r="D236" i="1"/>
  <c r="E236" i="1"/>
  <c r="F236" i="1"/>
  <c r="G236" i="1"/>
  <c r="J236" i="1"/>
  <c r="L236" i="1"/>
  <c r="A237" i="1"/>
  <c r="B237" i="1"/>
  <c r="C237" i="1"/>
  <c r="D237" i="1"/>
  <c r="E237" i="1"/>
  <c r="F237" i="1"/>
  <c r="G237" i="1"/>
  <c r="J237" i="1"/>
  <c r="K237" i="1"/>
  <c r="L237" i="1"/>
  <c r="A238" i="1"/>
  <c r="B238" i="1"/>
  <c r="C238" i="1"/>
  <c r="D238" i="1"/>
  <c r="E238" i="1"/>
  <c r="F238" i="1"/>
  <c r="G238" i="1"/>
  <c r="L238" i="1"/>
  <c r="A239" i="1"/>
  <c r="B239" i="1"/>
  <c r="C239" i="1"/>
  <c r="D239" i="1"/>
  <c r="E239" i="1"/>
  <c r="F239" i="1"/>
  <c r="G239" i="1"/>
  <c r="J239" i="1"/>
  <c r="L239" i="1"/>
  <c r="A240" i="1"/>
  <c r="B240" i="1"/>
  <c r="C240" i="1"/>
  <c r="D240" i="1"/>
  <c r="E240" i="1"/>
  <c r="F240" i="1"/>
  <c r="G240" i="1"/>
  <c r="L240" i="1"/>
  <c r="A241" i="1"/>
  <c r="B241" i="1"/>
  <c r="C241" i="1"/>
  <c r="D241" i="1"/>
  <c r="E241" i="1"/>
  <c r="F241" i="1"/>
  <c r="G241" i="1"/>
  <c r="L241" i="1"/>
  <c r="A242" i="1"/>
  <c r="B242" i="1"/>
  <c r="C242" i="1"/>
  <c r="D242" i="1"/>
  <c r="E242" i="1"/>
  <c r="F242" i="1"/>
  <c r="G242" i="1"/>
  <c r="H242" i="1"/>
  <c r="J242" i="1"/>
  <c r="L242" i="1"/>
  <c r="A243" i="1"/>
  <c r="B243" i="1"/>
  <c r="C243" i="1"/>
  <c r="D243" i="1"/>
  <c r="E243" i="1"/>
  <c r="G243" i="1"/>
  <c r="H243" i="1"/>
  <c r="L243" i="1"/>
  <c r="A244" i="1"/>
  <c r="B244" i="1"/>
  <c r="C244" i="1"/>
  <c r="D244" i="1"/>
  <c r="E244" i="1"/>
  <c r="G244" i="1"/>
  <c r="H244" i="1"/>
  <c r="L244" i="1"/>
  <c r="A245" i="1"/>
  <c r="B245" i="1"/>
  <c r="C245" i="1"/>
  <c r="D245" i="1"/>
  <c r="E245" i="1"/>
  <c r="G245" i="1"/>
  <c r="H245" i="1"/>
  <c r="L245" i="1"/>
  <c r="A246" i="1"/>
  <c r="B246" i="1"/>
  <c r="C246" i="1"/>
  <c r="D246" i="1"/>
  <c r="E246" i="1"/>
  <c r="G246" i="1"/>
  <c r="H246" i="1"/>
  <c r="L246" i="1"/>
  <c r="A247" i="1"/>
  <c r="B247" i="1"/>
  <c r="C247" i="1"/>
  <c r="D247" i="1"/>
  <c r="E247" i="1"/>
  <c r="G247" i="1"/>
  <c r="H247" i="1"/>
  <c r="L247" i="1"/>
  <c r="A248" i="1"/>
  <c r="B248" i="1"/>
  <c r="C248" i="1"/>
  <c r="D248" i="1"/>
  <c r="E248" i="1"/>
  <c r="G248" i="1"/>
  <c r="H248" i="1"/>
  <c r="L248" i="1"/>
  <c r="A249" i="1"/>
  <c r="B249" i="1"/>
  <c r="C249" i="1"/>
  <c r="D249" i="1"/>
  <c r="E249" i="1"/>
  <c r="G249" i="1"/>
  <c r="H249" i="1"/>
  <c r="L249" i="1"/>
  <c r="A250" i="1"/>
  <c r="B250" i="1"/>
  <c r="C250" i="1"/>
  <c r="D250" i="1"/>
  <c r="E250" i="1"/>
  <c r="G250" i="1"/>
  <c r="H250" i="1"/>
  <c r="L250" i="1"/>
  <c r="A3" i="1"/>
  <c r="B3" i="1"/>
  <c r="C3" i="1"/>
  <c r="D3" i="1"/>
  <c r="E3" i="1"/>
  <c r="F3" i="1"/>
  <c r="G3" i="1"/>
  <c r="H3" i="1"/>
  <c r="I3" i="1"/>
  <c r="J3" i="1"/>
  <c r="K3" i="1"/>
  <c r="L3" i="1"/>
  <c r="A4" i="1"/>
  <c r="B4" i="1"/>
  <c r="C4" i="1"/>
  <c r="D4" i="1"/>
  <c r="E4" i="1"/>
  <c r="F4" i="1"/>
  <c r="G4" i="1"/>
  <c r="L4" i="1"/>
  <c r="A5" i="1"/>
  <c r="B5" i="1"/>
  <c r="C5" i="1"/>
  <c r="D5" i="1"/>
  <c r="E5" i="1"/>
  <c r="F5" i="1"/>
  <c r="G5" i="1"/>
  <c r="H5" i="1"/>
  <c r="I5" i="1"/>
  <c r="J5" i="1"/>
  <c r="K5" i="1"/>
  <c r="L5" i="1"/>
  <c r="A6" i="1"/>
  <c r="B6" i="1"/>
  <c r="C6" i="1"/>
  <c r="D6" i="1"/>
  <c r="E6" i="1"/>
  <c r="F6" i="1"/>
  <c r="G6" i="1"/>
  <c r="H6" i="1"/>
  <c r="I6" i="1"/>
  <c r="J6" i="1"/>
  <c r="K6" i="1"/>
  <c r="L6" i="1"/>
  <c r="A7" i="1"/>
  <c r="B7" i="1"/>
  <c r="C7" i="1"/>
  <c r="D7" i="1"/>
  <c r="E7" i="1"/>
  <c r="G7" i="1"/>
  <c r="J7" i="1"/>
  <c r="L7" i="1"/>
  <c r="A8" i="1"/>
  <c r="B8" i="1"/>
  <c r="C8" i="1"/>
  <c r="D8" i="1"/>
  <c r="E8" i="1"/>
  <c r="F8" i="1"/>
  <c r="G8" i="1"/>
  <c r="H8" i="1"/>
  <c r="I8" i="1"/>
  <c r="J8" i="1"/>
  <c r="K8" i="1"/>
  <c r="L8" i="1"/>
  <c r="A9" i="1"/>
  <c r="B9" i="1"/>
  <c r="C9" i="1"/>
  <c r="D9" i="1"/>
  <c r="E9" i="1"/>
  <c r="H9" i="1"/>
  <c r="L9" i="1"/>
  <c r="A10" i="1"/>
  <c r="B10" i="1"/>
  <c r="C10" i="1"/>
  <c r="D10" i="1"/>
  <c r="E10" i="1"/>
  <c r="F10" i="1"/>
  <c r="G10" i="1"/>
  <c r="J10" i="1"/>
  <c r="K10" i="1"/>
  <c r="L10" i="1"/>
  <c r="A11" i="1"/>
  <c r="B11" i="1"/>
  <c r="C11" i="1"/>
  <c r="D11" i="1"/>
  <c r="E11" i="1"/>
  <c r="F11" i="1"/>
  <c r="G11" i="1"/>
  <c r="H11" i="1"/>
  <c r="L11" i="1"/>
  <c r="A12" i="1"/>
  <c r="B12" i="1"/>
  <c r="C12" i="1"/>
  <c r="D12" i="1"/>
  <c r="E12" i="1"/>
  <c r="F12" i="1"/>
  <c r="G12" i="1"/>
  <c r="I12" i="1"/>
  <c r="J12" i="1"/>
  <c r="K12" i="1"/>
  <c r="L12" i="1"/>
  <c r="A13" i="1"/>
  <c r="B13" i="1"/>
  <c r="C13" i="1"/>
  <c r="D13" i="1"/>
  <c r="E13" i="1"/>
  <c r="F13" i="1"/>
  <c r="H13" i="1"/>
  <c r="L13" i="1"/>
  <c r="A14" i="1"/>
  <c r="B14" i="1"/>
  <c r="C14" i="1"/>
  <c r="D14" i="1"/>
  <c r="E14" i="1"/>
  <c r="F14" i="1"/>
  <c r="G14" i="1"/>
  <c r="I14" i="1"/>
  <c r="J14" i="1"/>
  <c r="K14" i="1"/>
  <c r="L14" i="1"/>
  <c r="A15" i="1"/>
  <c r="B15" i="1"/>
  <c r="C15" i="1"/>
  <c r="D15" i="1"/>
  <c r="E15" i="1"/>
  <c r="F15" i="1"/>
  <c r="G15" i="1"/>
  <c r="H15" i="1"/>
  <c r="I15" i="1"/>
  <c r="J15" i="1"/>
  <c r="K15" i="1"/>
  <c r="L15" i="1"/>
  <c r="A16" i="1"/>
  <c r="B16" i="1"/>
  <c r="C16" i="1"/>
  <c r="D16" i="1"/>
  <c r="E16" i="1"/>
  <c r="F16" i="1"/>
  <c r="G16" i="1"/>
  <c r="H16" i="1"/>
  <c r="I16" i="1"/>
  <c r="J16" i="1"/>
  <c r="K16" i="1"/>
  <c r="L16" i="1"/>
  <c r="A17" i="1"/>
  <c r="B17" i="1"/>
  <c r="C17" i="1"/>
  <c r="D17" i="1"/>
  <c r="E17" i="1"/>
  <c r="F17" i="1"/>
  <c r="G17" i="1"/>
  <c r="H17" i="1"/>
  <c r="I17" i="1"/>
  <c r="J17" i="1"/>
  <c r="K17" i="1"/>
  <c r="L17" i="1"/>
  <c r="A18" i="1"/>
  <c r="B18" i="1"/>
  <c r="C18" i="1"/>
  <c r="D18" i="1"/>
  <c r="E18" i="1"/>
  <c r="G18" i="1"/>
  <c r="H18" i="1"/>
  <c r="I18" i="1"/>
  <c r="J18" i="1"/>
  <c r="K18" i="1"/>
  <c r="L18" i="1"/>
  <c r="A19" i="1"/>
  <c r="B19" i="1"/>
  <c r="C19" i="1"/>
  <c r="D19" i="1"/>
  <c r="E19" i="1"/>
  <c r="F19" i="1"/>
  <c r="G19" i="1"/>
  <c r="H19" i="1"/>
  <c r="I19" i="1"/>
  <c r="J19" i="1"/>
  <c r="K19" i="1"/>
  <c r="L19" i="1"/>
  <c r="A20" i="1"/>
  <c r="B20" i="1"/>
  <c r="C20" i="1"/>
  <c r="D20" i="1"/>
  <c r="E20" i="1"/>
  <c r="F20" i="1"/>
  <c r="G20" i="1"/>
  <c r="H20" i="1"/>
  <c r="I20" i="1"/>
  <c r="J20" i="1"/>
  <c r="K20" i="1"/>
  <c r="L20" i="1"/>
  <c r="A21" i="1"/>
  <c r="B21" i="1"/>
  <c r="C21" i="1"/>
  <c r="D21" i="1"/>
  <c r="E21" i="1"/>
  <c r="F21" i="1"/>
  <c r="G21" i="1"/>
  <c r="H21" i="1"/>
  <c r="I21" i="1"/>
  <c r="J21" i="1"/>
  <c r="K21" i="1"/>
  <c r="L21" i="1"/>
  <c r="A22" i="1"/>
  <c r="B22" i="1"/>
  <c r="C22" i="1"/>
  <c r="D22" i="1"/>
  <c r="E22" i="1"/>
  <c r="F22" i="1"/>
  <c r="G22" i="1"/>
  <c r="H22" i="1"/>
  <c r="I22" i="1"/>
  <c r="J22" i="1"/>
  <c r="K22" i="1"/>
  <c r="L22" i="1"/>
  <c r="A23" i="1"/>
  <c r="B23" i="1"/>
  <c r="C23" i="1"/>
  <c r="D23" i="1"/>
  <c r="E23" i="1"/>
  <c r="F23" i="1"/>
  <c r="G23" i="1"/>
  <c r="H23" i="1"/>
  <c r="I23" i="1"/>
  <c r="J23" i="1"/>
  <c r="K23" i="1"/>
  <c r="L23" i="1"/>
  <c r="A24" i="1"/>
  <c r="B24" i="1"/>
  <c r="C24" i="1"/>
  <c r="D24" i="1"/>
  <c r="E24" i="1"/>
  <c r="F24" i="1"/>
  <c r="H24" i="1"/>
  <c r="I24" i="1"/>
  <c r="K24" i="1"/>
  <c r="L24" i="1"/>
  <c r="A25" i="1"/>
  <c r="B25" i="1"/>
  <c r="C25" i="1"/>
  <c r="D25" i="1"/>
  <c r="E25" i="1"/>
  <c r="F25" i="1"/>
  <c r="A26" i="1"/>
  <c r="B26" i="1"/>
  <c r="C26" i="1"/>
  <c r="D26" i="1"/>
  <c r="E26" i="1"/>
  <c r="F26" i="1"/>
  <c r="A27" i="1"/>
  <c r="B27" i="1"/>
  <c r="C27" i="1"/>
  <c r="D27" i="1"/>
  <c r="E27" i="1"/>
  <c r="F27" i="1"/>
  <c r="A28" i="1"/>
  <c r="B28" i="1"/>
  <c r="C28" i="1"/>
  <c r="D28" i="1"/>
  <c r="E28" i="1"/>
  <c r="G28" i="1"/>
  <c r="H28" i="1"/>
  <c r="L28" i="1"/>
  <c r="A29" i="1"/>
  <c r="B29" i="1"/>
  <c r="C29" i="1"/>
  <c r="D29" i="1"/>
  <c r="E29" i="1"/>
  <c r="F29" i="1"/>
  <c r="A30" i="1"/>
  <c r="B30" i="1"/>
  <c r="C30" i="1"/>
  <c r="D30" i="1"/>
  <c r="E30" i="1"/>
  <c r="F30" i="1"/>
  <c r="A31" i="1"/>
  <c r="B31" i="1"/>
  <c r="C31" i="1"/>
  <c r="D31" i="1"/>
  <c r="E31" i="1"/>
  <c r="F31" i="1"/>
  <c r="H31" i="1"/>
  <c r="J31" i="1"/>
  <c r="L31" i="1"/>
  <c r="A32" i="1"/>
  <c r="B32" i="1"/>
  <c r="C32" i="1"/>
  <c r="D32" i="1"/>
  <c r="E32" i="1"/>
  <c r="F32" i="1"/>
  <c r="H32" i="1"/>
  <c r="L32" i="1"/>
  <c r="A33" i="1"/>
  <c r="B33" i="1"/>
  <c r="C33" i="1"/>
  <c r="D33" i="1"/>
  <c r="E33" i="1"/>
  <c r="F33" i="1"/>
  <c r="H33" i="1"/>
  <c r="L33" i="1"/>
  <c r="A34" i="1"/>
  <c r="B34" i="1"/>
  <c r="C34" i="1"/>
  <c r="D34" i="1"/>
  <c r="E34" i="1"/>
  <c r="F34" i="1"/>
  <c r="H34" i="1"/>
  <c r="L34" i="1"/>
  <c r="A35" i="1"/>
  <c r="B35" i="1"/>
  <c r="C35" i="1"/>
  <c r="D35" i="1"/>
  <c r="E35" i="1"/>
  <c r="F35" i="1"/>
  <c r="G35" i="1"/>
  <c r="H35" i="1"/>
  <c r="I35" i="1"/>
  <c r="J35" i="1"/>
  <c r="K35" i="1"/>
  <c r="L35" i="1"/>
  <c r="A36" i="1"/>
  <c r="B36" i="1"/>
  <c r="C36" i="1"/>
  <c r="D36" i="1"/>
  <c r="E36" i="1"/>
  <c r="F36" i="1"/>
  <c r="G36" i="1"/>
  <c r="H36" i="1"/>
  <c r="A37" i="1"/>
  <c r="B37" i="1"/>
  <c r="C37" i="1"/>
  <c r="D37" i="1"/>
  <c r="E37" i="1"/>
  <c r="F37" i="1"/>
  <c r="G37" i="1"/>
  <c r="H37" i="1"/>
  <c r="L37" i="1"/>
  <c r="A38" i="1"/>
  <c r="B38" i="1"/>
  <c r="C38" i="1"/>
  <c r="D38" i="1"/>
  <c r="E38" i="1"/>
  <c r="H38" i="1"/>
  <c r="I38" i="1"/>
  <c r="J38" i="1"/>
  <c r="K38" i="1"/>
  <c r="L38" i="1"/>
  <c r="A39" i="1"/>
  <c r="B39" i="1"/>
  <c r="C39" i="1"/>
  <c r="D39" i="1"/>
  <c r="E39" i="1"/>
  <c r="F39" i="1"/>
  <c r="H39" i="1"/>
  <c r="I39" i="1"/>
  <c r="K39" i="1"/>
  <c r="L39" i="1"/>
  <c r="A40" i="1"/>
  <c r="B40" i="1"/>
  <c r="C40" i="1"/>
  <c r="D40" i="1"/>
  <c r="E40" i="1"/>
  <c r="F40" i="1"/>
  <c r="H40" i="1"/>
  <c r="I40" i="1"/>
  <c r="J40" i="1"/>
  <c r="K40" i="1"/>
  <c r="L40" i="1"/>
  <c r="A41" i="1"/>
  <c r="B41" i="1"/>
  <c r="C41" i="1"/>
  <c r="D41" i="1"/>
  <c r="E41" i="1"/>
  <c r="F41" i="1"/>
  <c r="G41" i="1"/>
  <c r="H41" i="1"/>
  <c r="I41" i="1"/>
  <c r="J41" i="1"/>
  <c r="L41" i="1"/>
  <c r="A42" i="1"/>
  <c r="B42" i="1"/>
  <c r="C42" i="1"/>
  <c r="D42" i="1"/>
  <c r="E42" i="1"/>
  <c r="G42" i="1"/>
  <c r="H42" i="1"/>
  <c r="L42" i="1"/>
  <c r="A43" i="1"/>
  <c r="B43" i="1"/>
  <c r="C43" i="1"/>
  <c r="D43" i="1"/>
  <c r="E43" i="1"/>
  <c r="F43" i="1"/>
  <c r="H43" i="1"/>
  <c r="L43" i="1"/>
  <c r="A44" i="1"/>
  <c r="B44" i="1"/>
  <c r="C44" i="1"/>
  <c r="D44" i="1"/>
  <c r="E44" i="1"/>
  <c r="F44" i="1"/>
  <c r="G44" i="1"/>
  <c r="H44" i="1"/>
  <c r="I44" i="1"/>
  <c r="J44" i="1"/>
  <c r="K44" i="1"/>
  <c r="L44" i="1"/>
  <c r="A45" i="1"/>
  <c r="B45" i="1"/>
  <c r="C45" i="1"/>
  <c r="D45" i="1"/>
  <c r="E45" i="1"/>
  <c r="F45" i="1"/>
  <c r="H45" i="1"/>
  <c r="I45" i="1"/>
  <c r="J45" i="1"/>
  <c r="K45" i="1"/>
  <c r="L45" i="1"/>
  <c r="A46" i="1"/>
  <c r="B46" i="1"/>
  <c r="C46" i="1"/>
  <c r="D46" i="1"/>
  <c r="E46" i="1"/>
  <c r="F46" i="1"/>
  <c r="G46" i="1"/>
  <c r="L46" i="1"/>
  <c r="A47" i="1"/>
  <c r="B47" i="1"/>
  <c r="C47" i="1"/>
  <c r="D47" i="1"/>
  <c r="E47" i="1"/>
  <c r="F47" i="1"/>
  <c r="G47" i="1"/>
  <c r="L47" i="1"/>
  <c r="A48" i="1"/>
  <c r="B48" i="1"/>
  <c r="C48" i="1"/>
  <c r="D48" i="1"/>
  <c r="E48" i="1"/>
  <c r="F48" i="1"/>
  <c r="A49" i="1"/>
  <c r="B49" i="1"/>
  <c r="C49" i="1"/>
  <c r="D49" i="1"/>
  <c r="E49" i="1"/>
  <c r="G49" i="1"/>
  <c r="L49" i="1"/>
  <c r="A50" i="1"/>
  <c r="B50" i="1"/>
  <c r="C50" i="1"/>
  <c r="D50" i="1"/>
  <c r="E50" i="1"/>
  <c r="F50" i="1"/>
  <c r="G50" i="1"/>
  <c r="H50" i="1"/>
  <c r="I50" i="1"/>
  <c r="J50" i="1"/>
  <c r="L50" i="1"/>
  <c r="A51" i="1"/>
  <c r="B51" i="1"/>
  <c r="C51" i="1"/>
  <c r="D51" i="1"/>
  <c r="E51" i="1"/>
  <c r="F51" i="1"/>
  <c r="G51" i="1"/>
  <c r="H51" i="1"/>
  <c r="I51" i="1"/>
  <c r="J51" i="1"/>
  <c r="K51" i="1"/>
  <c r="L51" i="1"/>
  <c r="A52" i="1"/>
  <c r="B52" i="1"/>
  <c r="C52" i="1"/>
  <c r="D52" i="1"/>
  <c r="E52" i="1"/>
  <c r="G52" i="1"/>
  <c r="H52" i="1"/>
  <c r="L52" i="1"/>
  <c r="A53" i="1"/>
  <c r="B53" i="1"/>
  <c r="C53" i="1"/>
  <c r="D53" i="1"/>
  <c r="E53" i="1"/>
  <c r="F53" i="1"/>
  <c r="G53" i="1"/>
  <c r="J53" i="1"/>
  <c r="L53" i="1"/>
  <c r="A54" i="1"/>
  <c r="B54" i="1"/>
  <c r="C54" i="1"/>
  <c r="D54" i="1"/>
  <c r="E54" i="1"/>
  <c r="I54" i="1"/>
  <c r="J54" i="1"/>
  <c r="A55" i="1"/>
  <c r="B55" i="1"/>
  <c r="C55" i="1"/>
  <c r="D55" i="1"/>
  <c r="E55" i="1"/>
  <c r="G55" i="1"/>
  <c r="J55" i="1"/>
  <c r="L55" i="1"/>
  <c r="A56" i="1"/>
  <c r="B56" i="1"/>
  <c r="C56" i="1"/>
  <c r="D56" i="1"/>
  <c r="E56" i="1"/>
  <c r="F56" i="1"/>
  <c r="G56" i="1"/>
  <c r="H56" i="1"/>
  <c r="I56" i="1"/>
  <c r="J56" i="1"/>
  <c r="L56" i="1"/>
  <c r="A57" i="1"/>
  <c r="B57" i="1"/>
  <c r="C57" i="1"/>
  <c r="D57" i="1"/>
  <c r="E57" i="1"/>
  <c r="G57" i="1"/>
  <c r="H57" i="1"/>
  <c r="J57" i="1"/>
  <c r="L57" i="1"/>
  <c r="A58" i="1"/>
  <c r="B58" i="1"/>
  <c r="C58" i="1"/>
  <c r="D58" i="1"/>
  <c r="E58" i="1"/>
  <c r="F58" i="1"/>
  <c r="G58" i="1"/>
  <c r="H58" i="1"/>
  <c r="J58" i="1"/>
  <c r="L58" i="1"/>
  <c r="A59" i="1"/>
  <c r="B59" i="1"/>
  <c r="C59" i="1"/>
  <c r="D59" i="1"/>
  <c r="E59" i="1"/>
  <c r="F59" i="1"/>
  <c r="G59" i="1"/>
  <c r="H59" i="1"/>
  <c r="J59" i="1"/>
  <c r="L59" i="1"/>
  <c r="A60" i="1"/>
  <c r="B60" i="1"/>
  <c r="C60" i="1"/>
  <c r="D60" i="1"/>
  <c r="E60" i="1"/>
  <c r="F60" i="1"/>
  <c r="G60" i="1"/>
  <c r="H60" i="1"/>
  <c r="L60" i="1"/>
  <c r="A61" i="1"/>
  <c r="B61" i="1"/>
  <c r="C61" i="1"/>
  <c r="D61" i="1"/>
  <c r="E61" i="1"/>
  <c r="F61" i="1"/>
  <c r="G61" i="1"/>
  <c r="H61" i="1"/>
  <c r="J61" i="1"/>
  <c r="K61" i="1"/>
  <c r="L61" i="1"/>
  <c r="A62" i="1"/>
  <c r="B62" i="1"/>
  <c r="C62" i="1"/>
  <c r="D62" i="1"/>
  <c r="E62" i="1"/>
  <c r="F62" i="1"/>
  <c r="I62" i="1"/>
  <c r="L62" i="1"/>
  <c r="A63" i="1"/>
  <c r="B63" i="1"/>
  <c r="C63" i="1"/>
  <c r="D63" i="1"/>
  <c r="E63" i="1"/>
  <c r="F63" i="1"/>
  <c r="G63" i="1"/>
  <c r="J63" i="1"/>
  <c r="L63" i="1"/>
  <c r="A64" i="1"/>
  <c r="B64" i="1"/>
  <c r="C64" i="1"/>
  <c r="D64" i="1"/>
  <c r="E64" i="1"/>
  <c r="F64" i="1"/>
  <c r="I64" i="1"/>
  <c r="J64" i="1"/>
  <c r="K64" i="1"/>
  <c r="L64" i="1"/>
  <c r="A65" i="1"/>
  <c r="B65" i="1"/>
  <c r="C65" i="1"/>
  <c r="D65" i="1"/>
  <c r="E65" i="1"/>
  <c r="F65" i="1"/>
  <c r="G65" i="1"/>
  <c r="I65" i="1"/>
  <c r="L2" i="1"/>
  <c r="H2" i="1"/>
  <c r="G2" i="1"/>
  <c r="F2" i="1"/>
  <c r="E2" i="1"/>
  <c r="D2" i="1"/>
  <c r="C2" i="1"/>
  <c r="B2" i="1"/>
  <c r="A2" i="1"/>
  <c r="F250" i="1"/>
  <c r="F249" i="1"/>
  <c r="F248" i="1"/>
  <c r="F247" i="1"/>
  <c r="F246" i="1"/>
  <c r="I245" i="1"/>
  <c r="F245" i="1"/>
  <c r="F244" i="1"/>
  <c r="F243" i="1"/>
  <c r="H236" i="1"/>
  <c r="S226" i="2"/>
  <c r="Q226" i="2"/>
  <c r="K226" i="2"/>
  <c r="AW225" i="2"/>
  <c r="AU225" i="2"/>
  <c r="AH225" i="2"/>
  <c r="U225" i="2"/>
  <c r="V225" i="2" s="1"/>
  <c r="Q225" i="2"/>
  <c r="N225" i="2"/>
  <c r="O225" i="2" s="1"/>
  <c r="L225" i="2"/>
  <c r="R225" i="2" s="1"/>
  <c r="K225" i="2"/>
  <c r="AW218" i="2"/>
  <c r="AT218" i="2"/>
  <c r="AU218" i="2" s="1"/>
  <c r="AR218" i="2"/>
  <c r="S218" i="2"/>
  <c r="Q218" i="2"/>
  <c r="K218" i="2"/>
  <c r="AW215" i="2"/>
  <c r="AR215" i="2"/>
  <c r="AO215" i="2"/>
  <c r="AF215" i="2"/>
  <c r="AG215" i="2" s="1"/>
  <c r="AD215" i="2"/>
  <c r="AE215" i="2" s="1"/>
  <c r="AB215" i="2"/>
  <c r="AC215" i="2" s="1"/>
  <c r="S215" i="2"/>
  <c r="Q215" i="2"/>
  <c r="M215" i="2"/>
  <c r="K215" i="2"/>
  <c r="I214" i="1"/>
  <c r="F212" i="1"/>
  <c r="I210" i="1"/>
  <c r="AY209" i="2"/>
  <c r="AO209" i="2"/>
  <c r="AH209" i="2"/>
  <c r="Q209" i="2"/>
  <c r="L209" i="2"/>
  <c r="R209" i="2" s="1"/>
  <c r="K209" i="2"/>
  <c r="AY208" i="2"/>
  <c r="AW208" i="2"/>
  <c r="AR208" i="2"/>
  <c r="AH208" i="2"/>
  <c r="K208" i="2"/>
  <c r="K207" i="1"/>
  <c r="AW206" i="2"/>
  <c r="AT206" i="2"/>
  <c r="AR206" i="2"/>
  <c r="AO206" i="2"/>
  <c r="S206" i="2"/>
  <c r="Q206" i="2"/>
  <c r="M206" i="2"/>
  <c r="K206" i="2"/>
  <c r="P205" i="2"/>
  <c r="K205" i="2"/>
  <c r="I204" i="1"/>
  <c r="F204" i="1"/>
  <c r="F203" i="1"/>
  <c r="AS202" i="2"/>
  <c r="AH202" i="2" s="1"/>
  <c r="I201" i="1" s="1"/>
  <c r="AA202" i="2"/>
  <c r="V202" i="2"/>
  <c r="R202" i="2"/>
  <c r="Q202" i="2"/>
  <c r="L202" i="2"/>
  <c r="M202" i="2" s="1"/>
  <c r="J202" i="2"/>
  <c r="AX201" i="2"/>
  <c r="AW201" i="2"/>
  <c r="AO201" i="2"/>
  <c r="AM201" i="2"/>
  <c r="AK201" i="2"/>
  <c r="AH201" i="2"/>
  <c r="AG201" i="2"/>
  <c r="AE201" i="2"/>
  <c r="Q201" i="2"/>
  <c r="O201" i="2"/>
  <c r="L201" i="2"/>
  <c r="M201" i="2" s="1"/>
  <c r="K201" i="2"/>
  <c r="S200" i="2"/>
  <c r="Q200" i="2"/>
  <c r="K200" i="2"/>
  <c r="AY199" i="2"/>
  <c r="AW199" i="2"/>
  <c r="AS199" i="2"/>
  <c r="AH199" i="2" s="1"/>
  <c r="I198" i="1" s="1"/>
  <c r="AO199" i="2"/>
  <c r="AM199" i="2"/>
  <c r="AK199" i="2"/>
  <c r="AG199" i="2"/>
  <c r="R199" i="2"/>
  <c r="P199" i="2"/>
  <c r="Q199" i="2" s="1"/>
  <c r="N199" i="2"/>
  <c r="O199" i="2" s="1"/>
  <c r="M199" i="2"/>
  <c r="K199" i="2"/>
  <c r="F197" i="1"/>
  <c r="F196" i="1"/>
  <c r="F195" i="1"/>
  <c r="F194" i="1"/>
  <c r="AW193" i="2"/>
  <c r="AT193" i="2"/>
  <c r="AR193" i="2"/>
  <c r="AF193" i="2"/>
  <c r="AG193" i="2" s="1"/>
  <c r="AB193" i="2"/>
  <c r="AC193" i="2" s="1"/>
  <c r="S193" i="2"/>
  <c r="P193" i="2"/>
  <c r="Q193" i="2" s="1"/>
  <c r="N193" i="2"/>
  <c r="O193" i="2" s="1"/>
  <c r="M193" i="2"/>
  <c r="K193" i="2"/>
  <c r="AY192" i="2"/>
  <c r="AW192" i="2"/>
  <c r="AO192" i="2"/>
  <c r="AL192" i="2"/>
  <c r="AM192" i="2" s="1"/>
  <c r="AJ192" i="2"/>
  <c r="AK192" i="2" s="1"/>
  <c r="AG192" i="2"/>
  <c r="AE192" i="2"/>
  <c r="P192" i="2"/>
  <c r="Q192" i="2" s="1"/>
  <c r="O192" i="2"/>
  <c r="L192" i="2"/>
  <c r="M192" i="2" s="1"/>
  <c r="J192" i="2"/>
  <c r="G192" i="1" s="1"/>
  <c r="G192" i="2"/>
  <c r="F192" i="1" s="1"/>
  <c r="AO191" i="2"/>
  <c r="R191" i="2"/>
  <c r="H191" i="1" s="1"/>
  <c r="Q191" i="2"/>
  <c r="M191" i="2"/>
  <c r="K191" i="2"/>
  <c r="G191" i="2"/>
  <c r="F191" i="1" s="1"/>
  <c r="AO190" i="2"/>
  <c r="AH190" i="2"/>
  <c r="AG190" i="2"/>
  <c r="AE190" i="2"/>
  <c r="AB190" i="2"/>
  <c r="AC190" i="2" s="1"/>
  <c r="AA190" i="2"/>
  <c r="Y190" i="2"/>
  <c r="S190" i="2"/>
  <c r="P190" i="2"/>
  <c r="Q190" i="2" s="1"/>
  <c r="M190" i="2"/>
  <c r="K190" i="2"/>
  <c r="G190" i="2"/>
  <c r="F190" i="1" s="1"/>
  <c r="AY188" i="2"/>
  <c r="AW188" i="2"/>
  <c r="AO188" i="2"/>
  <c r="AL188" i="2"/>
  <c r="AM188" i="2" s="1"/>
  <c r="AK188" i="2"/>
  <c r="AH188" i="2"/>
  <c r="S188" i="2"/>
  <c r="Q188" i="2"/>
  <c r="L188" i="2"/>
  <c r="M188" i="2" s="1"/>
  <c r="K188" i="2"/>
  <c r="G188" i="2"/>
  <c r="F189" i="1" s="1"/>
  <c r="AO187" i="2"/>
  <c r="AM187" i="2"/>
  <c r="AK187" i="2"/>
  <c r="AH187" i="2"/>
  <c r="AG187" i="2"/>
  <c r="R187" i="2"/>
  <c r="H188" i="1" s="1"/>
  <c r="P187" i="2"/>
  <c r="Q187" i="2" s="1"/>
  <c r="K187" i="2"/>
  <c r="AY185" i="2"/>
  <c r="AW185" i="2"/>
  <c r="AT185" i="2"/>
  <c r="AR185" i="2"/>
  <c r="AP185" i="2"/>
  <c r="AO185" i="2"/>
  <c r="AH185" i="2"/>
  <c r="AG185" i="2"/>
  <c r="P185" i="2"/>
  <c r="Q185" i="2" s="1"/>
  <c r="O185" i="2"/>
  <c r="L185" i="2"/>
  <c r="R185" i="2" s="1"/>
  <c r="K185" i="2"/>
  <c r="G185" i="2"/>
  <c r="F186" i="1" s="1"/>
  <c r="AY184" i="2"/>
  <c r="AW184" i="2"/>
  <c r="AS184" i="2"/>
  <c r="AH184" i="2" s="1"/>
  <c r="AR184" i="2"/>
  <c r="AO184" i="2"/>
  <c r="S184" i="2"/>
  <c r="Q184" i="2"/>
  <c r="M184" i="2"/>
  <c r="J184" i="2"/>
  <c r="K184" i="2" s="1"/>
  <c r="AY183" i="2"/>
  <c r="AW183" i="2"/>
  <c r="AO183" i="2"/>
  <c r="AH183" i="2"/>
  <c r="R183" i="2"/>
  <c r="Q183" i="2"/>
  <c r="M183" i="2"/>
  <c r="K183" i="2"/>
  <c r="AY181" i="2"/>
  <c r="AW181" i="2"/>
  <c r="AO181" i="2"/>
  <c r="AM181" i="2"/>
  <c r="AH181" i="2"/>
  <c r="AT181" i="2" s="1"/>
  <c r="AF181" i="2"/>
  <c r="AG181" i="2" s="1"/>
  <c r="AC181" i="2"/>
  <c r="Q181" i="2"/>
  <c r="L181" i="2"/>
  <c r="K181" i="2"/>
  <c r="I181" i="1"/>
  <c r="AW179" i="2"/>
  <c r="AT179" i="2"/>
  <c r="AR179" i="2"/>
  <c r="AH179" i="2"/>
  <c r="S179" i="2"/>
  <c r="Q179" i="2"/>
  <c r="K179" i="2"/>
  <c r="F179" i="1"/>
  <c r="AY177" i="2"/>
  <c r="AS177" i="2"/>
  <c r="AT177" i="2" s="1"/>
  <c r="AR177" i="2"/>
  <c r="AO177" i="2"/>
  <c r="AM177" i="2"/>
  <c r="R177" i="2"/>
  <c r="Q177" i="2"/>
  <c r="M177" i="2"/>
  <c r="K177" i="2"/>
  <c r="Q176" i="2"/>
  <c r="L176" i="2"/>
  <c r="M176" i="2" s="1"/>
  <c r="K176" i="2"/>
  <c r="AY175" i="2"/>
  <c r="AW175" i="2"/>
  <c r="AS175" i="2"/>
  <c r="AR175" i="2"/>
  <c r="AO175" i="2"/>
  <c r="R175" i="2"/>
  <c r="Q175" i="2"/>
  <c r="M175" i="2"/>
  <c r="K175" i="2"/>
  <c r="I175" i="1"/>
  <c r="F174" i="1"/>
  <c r="S172" i="2"/>
  <c r="Q172" i="2"/>
  <c r="M172" i="2"/>
  <c r="J172" i="2"/>
  <c r="AW171" i="2"/>
  <c r="Q171" i="2"/>
  <c r="L171" i="2"/>
  <c r="K171" i="2"/>
  <c r="AY169" i="2"/>
  <c r="AW169" i="2"/>
  <c r="AO169" i="2"/>
  <c r="AL169" i="2"/>
  <c r="AM169" i="2" s="1"/>
  <c r="AG169" i="2"/>
  <c r="V169" i="2"/>
  <c r="Q169" i="2"/>
  <c r="O169" i="2"/>
  <c r="M169" i="2"/>
  <c r="K169" i="2"/>
  <c r="AY167" i="2"/>
  <c r="AW167" i="2"/>
  <c r="AU167" i="2"/>
  <c r="AS167" i="2"/>
  <c r="AH167" i="2" s="1"/>
  <c r="AR167" i="2"/>
  <c r="AO167" i="2"/>
  <c r="V167" i="2"/>
  <c r="L167" i="2"/>
  <c r="K167" i="2"/>
  <c r="I167" i="1"/>
  <c r="AY164" i="2"/>
  <c r="AW164" i="2"/>
  <c r="AO164" i="2"/>
  <c r="AH164" i="2"/>
  <c r="K164" i="2"/>
  <c r="I164" i="1"/>
  <c r="AY161" i="2"/>
  <c r="AW161" i="2"/>
  <c r="AU161" i="2"/>
  <c r="AO161" i="2"/>
  <c r="S161" i="2"/>
  <c r="Q161" i="2"/>
  <c r="K161" i="2"/>
  <c r="AR158" i="2"/>
  <c r="AG158" i="2"/>
  <c r="AE158" i="2"/>
  <c r="AA158" i="2"/>
  <c r="X158" i="2"/>
  <c r="AB158" i="2" s="1"/>
  <c r="AC158" i="2" s="1"/>
  <c r="V158" i="2"/>
  <c r="S158" i="2"/>
  <c r="Q158" i="2"/>
  <c r="M158" i="2"/>
  <c r="I158" i="1"/>
  <c r="AR154" i="2"/>
  <c r="Q154" i="2"/>
  <c r="K154" i="2"/>
  <c r="AR153" i="2"/>
  <c r="Q153" i="2"/>
  <c r="K153" i="2"/>
  <c r="H154" i="1"/>
  <c r="I153" i="1"/>
  <c r="I150" i="1"/>
  <c r="AW145" i="2"/>
  <c r="Q145" i="2"/>
  <c r="K145" i="2"/>
  <c r="Q144" i="2"/>
  <c r="K144" i="2"/>
  <c r="I147" i="1"/>
  <c r="AQ142" i="2"/>
  <c r="AF142" i="2"/>
  <c r="AG142" i="2" s="1"/>
  <c r="AD142" i="2"/>
  <c r="AE142" i="2" s="1"/>
  <c r="Q142" i="2"/>
  <c r="L142" i="2"/>
  <c r="R142" i="2" s="1"/>
  <c r="S142" i="2" s="1"/>
  <c r="K142" i="2"/>
  <c r="AY141" i="2"/>
  <c r="AW141" i="2"/>
  <c r="AO141" i="2"/>
  <c r="AH141" i="2"/>
  <c r="AG141" i="2"/>
  <c r="S141" i="2"/>
  <c r="Q141" i="2"/>
  <c r="K141" i="2"/>
  <c r="Q139" i="2"/>
  <c r="J139" i="2"/>
  <c r="AR138" i="2"/>
  <c r="R138" i="2"/>
  <c r="Q138" i="2"/>
  <c r="M138" i="2"/>
  <c r="K138" i="2"/>
  <c r="AX137" i="2"/>
  <c r="AZ137" i="2" s="1"/>
  <c r="AW137" i="2"/>
  <c r="AU137" i="2"/>
  <c r="AQ137" i="2"/>
  <c r="AO137" i="2"/>
  <c r="AH137" i="2"/>
  <c r="AG137" i="2"/>
  <c r="R137" i="2"/>
  <c r="Q137" i="2"/>
  <c r="M137" i="2"/>
  <c r="K137" i="2"/>
  <c r="AY136" i="2"/>
  <c r="AW136" i="2"/>
  <c r="AU136" i="2"/>
  <c r="AS136" i="2"/>
  <c r="AR136" i="2"/>
  <c r="AO136" i="2"/>
  <c r="AH136" i="2"/>
  <c r="R136" i="2"/>
  <c r="Q136" i="2"/>
  <c r="M136" i="2"/>
  <c r="K136" i="2"/>
  <c r="AY135" i="2"/>
  <c r="AW135" i="2"/>
  <c r="AU135" i="2"/>
  <c r="AR135" i="2"/>
  <c r="AO135" i="2"/>
  <c r="AM135" i="2"/>
  <c r="AK135" i="2"/>
  <c r="AH135" i="2"/>
  <c r="I139" i="1" s="1"/>
  <c r="R135" i="2"/>
  <c r="Q135" i="2"/>
  <c r="M135" i="2"/>
  <c r="K135" i="2"/>
  <c r="AY133" i="2"/>
  <c r="AW133" i="2"/>
  <c r="AS133" i="2"/>
  <c r="AR133" i="2"/>
  <c r="AO133" i="2"/>
  <c r="AM133" i="2"/>
  <c r="AK133" i="2"/>
  <c r="AG133" i="2"/>
  <c r="AE133" i="2"/>
  <c r="S133" i="2"/>
  <c r="Q133" i="2"/>
  <c r="M133" i="2"/>
  <c r="K133" i="2"/>
  <c r="AY132" i="2"/>
  <c r="AW132" i="2"/>
  <c r="AS132" i="2"/>
  <c r="AT132" i="2" s="1"/>
  <c r="AR132" i="2"/>
  <c r="AO132" i="2"/>
  <c r="AM132" i="2"/>
  <c r="AK132" i="2"/>
  <c r="AG132" i="2"/>
  <c r="AE132" i="2"/>
  <c r="AB132" i="2"/>
  <c r="AC132" i="2" s="1"/>
  <c r="AA132" i="2"/>
  <c r="Y132" i="2"/>
  <c r="S132" i="2"/>
  <c r="Q132" i="2"/>
  <c r="O132" i="2"/>
  <c r="M132" i="2"/>
  <c r="K132" i="2"/>
  <c r="I134" i="1"/>
  <c r="AC128" i="2"/>
  <c r="M128" i="2"/>
  <c r="K128" i="2"/>
  <c r="AW127" i="2"/>
  <c r="S127" i="2"/>
  <c r="Q127" i="2"/>
  <c r="K127" i="2"/>
  <c r="AO126" i="2"/>
  <c r="S126" i="2"/>
  <c r="Q126" i="2"/>
  <c r="K126" i="2"/>
  <c r="AY125" i="2"/>
  <c r="AW125" i="2"/>
  <c r="AT125" i="2"/>
  <c r="AR125" i="2"/>
  <c r="AO125" i="2"/>
  <c r="AH125" i="2"/>
  <c r="AG125" i="2"/>
  <c r="S125" i="2"/>
  <c r="Q125" i="2"/>
  <c r="L125" i="2"/>
  <c r="M125" i="2" s="1"/>
  <c r="K125" i="2"/>
  <c r="AG124" i="2"/>
  <c r="Q124" i="2"/>
  <c r="L124" i="2"/>
  <c r="K124" i="2"/>
  <c r="AW123" i="2"/>
  <c r="AU123" i="2"/>
  <c r="AS123" i="2"/>
  <c r="AR123" i="2"/>
  <c r="AN123" i="2"/>
  <c r="AO123" i="2" s="1"/>
  <c r="AG123" i="2"/>
  <c r="S123" i="2"/>
  <c r="Q123" i="2"/>
  <c r="L123" i="2"/>
  <c r="M123" i="2" s="1"/>
  <c r="K123" i="2"/>
  <c r="S122" i="2"/>
  <c r="Q122" i="2"/>
  <c r="K122" i="2"/>
  <c r="AG121" i="2"/>
  <c r="AE121" i="2"/>
  <c r="AB121" i="2"/>
  <c r="AC121" i="2" s="1"/>
  <c r="AA121" i="2"/>
  <c r="Y121" i="2"/>
  <c r="S121" i="2"/>
  <c r="Q121" i="2"/>
  <c r="K121" i="2"/>
  <c r="AW120" i="2"/>
  <c r="AR120" i="2"/>
  <c r="AH120" i="2"/>
  <c r="S120" i="2"/>
  <c r="Q120" i="2"/>
  <c r="K120" i="2"/>
  <c r="AY117" i="2"/>
  <c r="AW117" i="2"/>
  <c r="AO117" i="2"/>
  <c r="AH117" i="2"/>
  <c r="R117" i="2"/>
  <c r="Q117" i="2"/>
  <c r="M117" i="2"/>
  <c r="K117" i="2"/>
  <c r="AY116" i="2"/>
  <c r="AW116" i="2"/>
  <c r="AO116" i="2"/>
  <c r="AH116" i="2"/>
  <c r="R116" i="2"/>
  <c r="Q116" i="2"/>
  <c r="M116" i="2"/>
  <c r="K116" i="2"/>
  <c r="J119" i="1"/>
  <c r="AG115" i="2"/>
  <c r="AC115" i="2"/>
  <c r="Q115" i="2"/>
  <c r="M115" i="2"/>
  <c r="AY113" i="2"/>
  <c r="AW113" i="2"/>
  <c r="AU113" i="2"/>
  <c r="AR113" i="2"/>
  <c r="AO113" i="2"/>
  <c r="S113" i="2"/>
  <c r="Q113" i="2"/>
  <c r="L113" i="2"/>
  <c r="M113" i="2" s="1"/>
  <c r="J113" i="2"/>
  <c r="AY112" i="2"/>
  <c r="AW112" i="2"/>
  <c r="AS112" i="2"/>
  <c r="AH112" i="2" s="1"/>
  <c r="AO112" i="2"/>
  <c r="R112" i="2"/>
  <c r="Q112" i="2"/>
  <c r="M112" i="2"/>
  <c r="K112" i="2"/>
  <c r="AY111" i="2"/>
  <c r="AW111" i="2"/>
  <c r="AU111" i="2"/>
  <c r="AQ111" i="2"/>
  <c r="AN111" i="2"/>
  <c r="AO111" i="2" s="1"/>
  <c r="AH111" i="2"/>
  <c r="S111" i="2"/>
  <c r="Q111" i="2"/>
  <c r="M111" i="2"/>
  <c r="K111" i="2"/>
  <c r="AU110" i="2"/>
  <c r="AR110" i="2"/>
  <c r="AO110" i="2"/>
  <c r="AH110" i="2"/>
  <c r="S110" i="2"/>
  <c r="Q110" i="2"/>
  <c r="M110" i="2"/>
  <c r="K110" i="2"/>
  <c r="AG109" i="2"/>
  <c r="AC109" i="2"/>
  <c r="Q109" i="2"/>
  <c r="O109" i="2"/>
  <c r="M109" i="2"/>
  <c r="AY108" i="2"/>
  <c r="AW108" i="2"/>
  <c r="AR108" i="2"/>
  <c r="AO108" i="2"/>
  <c r="K108" i="2"/>
  <c r="AR107" i="2"/>
  <c r="R107" i="2"/>
  <c r="Q107" i="2"/>
  <c r="K107" i="2"/>
  <c r="AY106" i="2"/>
  <c r="AW106" i="2"/>
  <c r="AU106" i="2"/>
  <c r="AQ106" i="2"/>
  <c r="AO106" i="2"/>
  <c r="AH106" i="2"/>
  <c r="S106" i="2"/>
  <c r="Q106" i="2"/>
  <c r="M106" i="2"/>
  <c r="K106" i="2"/>
  <c r="AW104" i="2"/>
  <c r="S104" i="2"/>
  <c r="Q104" i="2"/>
  <c r="K104" i="2"/>
  <c r="AR103" i="2"/>
  <c r="S103" i="2"/>
  <c r="Q103" i="2"/>
  <c r="K103" i="2"/>
  <c r="AR102" i="2"/>
  <c r="S102" i="2"/>
  <c r="Q102" i="2"/>
  <c r="K102" i="2"/>
  <c r="AR101" i="2"/>
  <c r="S101" i="2"/>
  <c r="Q101" i="2"/>
  <c r="K101" i="2"/>
  <c r="AR100" i="2"/>
  <c r="S100" i="2"/>
  <c r="Q100" i="2"/>
  <c r="K100" i="2"/>
  <c r="AR99" i="2"/>
  <c r="S99" i="2"/>
  <c r="Q99" i="2"/>
  <c r="K99" i="2"/>
  <c r="AR98" i="2"/>
  <c r="S98" i="2"/>
  <c r="Q98" i="2"/>
  <c r="K98" i="2"/>
  <c r="S97" i="2"/>
  <c r="Q97" i="2"/>
  <c r="K97" i="2"/>
  <c r="AY95" i="2"/>
  <c r="AW95" i="2"/>
  <c r="AO95" i="2"/>
  <c r="AM95" i="2"/>
  <c r="AJ95" i="2"/>
  <c r="AK95" i="2" s="1"/>
  <c r="AH95" i="2"/>
  <c r="I99" i="1" s="1"/>
  <c r="S95" i="2"/>
  <c r="Q95" i="2"/>
  <c r="M95" i="2"/>
  <c r="K95" i="2"/>
  <c r="AY94" i="2"/>
  <c r="AW94" i="2"/>
  <c r="AO94" i="2"/>
  <c r="AM94" i="2"/>
  <c r="AJ94" i="2"/>
  <c r="AK94" i="2" s="1"/>
  <c r="AH94" i="2"/>
  <c r="S94" i="2"/>
  <c r="Q94" i="2"/>
  <c r="M94" i="2"/>
  <c r="K94" i="2"/>
  <c r="AY93" i="2"/>
  <c r="AW93" i="2"/>
  <c r="AR93" i="2"/>
  <c r="AO93" i="2"/>
  <c r="AH93" i="2"/>
  <c r="S93" i="2"/>
  <c r="Q93" i="2"/>
  <c r="L93" i="2"/>
  <c r="M93" i="2" s="1"/>
  <c r="K93" i="2"/>
  <c r="S92" i="2"/>
  <c r="Q92" i="2"/>
  <c r="K92" i="2"/>
  <c r="AW91" i="2"/>
  <c r="AH91" i="2"/>
  <c r="AG91" i="2"/>
  <c r="AE91" i="2"/>
  <c r="AB91" i="2"/>
  <c r="AC91" i="2" s="1"/>
  <c r="S91" i="2"/>
  <c r="Q91" i="2"/>
  <c r="K91" i="2"/>
  <c r="AQ88" i="2"/>
  <c r="S88" i="2"/>
  <c r="Q88" i="2"/>
  <c r="J88" i="2"/>
  <c r="AR87" i="2"/>
  <c r="S87" i="2"/>
  <c r="Q87" i="2"/>
  <c r="K87" i="2"/>
  <c r="R86" i="2"/>
  <c r="Q86" i="2"/>
  <c r="K86" i="2"/>
  <c r="S85" i="2"/>
  <c r="Q85" i="2"/>
  <c r="K85" i="2"/>
  <c r="AW84" i="2"/>
  <c r="S84" i="2"/>
  <c r="Q84" i="2"/>
  <c r="K84" i="2"/>
  <c r="AT83" i="2"/>
  <c r="K86" i="1" s="1"/>
  <c r="AN83" i="2"/>
  <c r="S83" i="2"/>
  <c r="Q83" i="2"/>
  <c r="L83" i="2"/>
  <c r="M83" i="2" s="1"/>
  <c r="K83" i="2"/>
  <c r="AW82" i="2"/>
  <c r="AR82" i="2"/>
  <c r="S82" i="2"/>
  <c r="Q82" i="2"/>
  <c r="M82" i="2"/>
  <c r="K82" i="2"/>
  <c r="S81" i="2"/>
  <c r="Q81" i="2"/>
  <c r="K81" i="2"/>
  <c r="S80" i="2"/>
  <c r="Q80" i="2"/>
  <c r="K80" i="2"/>
  <c r="S79" i="2"/>
  <c r="Q79" i="2"/>
  <c r="K79" i="2"/>
  <c r="I80" i="1"/>
  <c r="AX74" i="2"/>
  <c r="AW74" i="2"/>
  <c r="AT74" i="2"/>
  <c r="AU74" i="2" s="1"/>
  <c r="Q74" i="2"/>
  <c r="L74" i="2"/>
  <c r="M74" i="2" s="1"/>
  <c r="K74" i="2"/>
  <c r="AV73" i="2"/>
  <c r="S73" i="2"/>
  <c r="Q73" i="2"/>
  <c r="K73" i="2"/>
  <c r="AY72" i="2"/>
  <c r="AW72" i="2"/>
  <c r="AT72" i="2"/>
  <c r="AH72" i="2"/>
  <c r="AE72" i="2"/>
  <c r="AB72" i="2"/>
  <c r="AC72" i="2" s="1"/>
  <c r="AA72" i="2"/>
  <c r="Y72" i="2"/>
  <c r="S72" i="2"/>
  <c r="Q72" i="2"/>
  <c r="K72" i="2"/>
  <c r="AS70" i="2"/>
  <c r="AH70" i="2" s="1"/>
  <c r="S70" i="2"/>
  <c r="Q70" i="2"/>
  <c r="K70" i="2"/>
  <c r="AY69" i="2"/>
  <c r="AH69" i="2"/>
  <c r="AB69" i="2"/>
  <c r="AC69" i="2" s="1"/>
  <c r="M69" i="2"/>
  <c r="G71" i="1"/>
  <c r="F71" i="1"/>
  <c r="AY68" i="2"/>
  <c r="AW68" i="2"/>
  <c r="S68" i="2"/>
  <c r="Q68" i="2"/>
  <c r="K68" i="2"/>
  <c r="AY66" i="2"/>
  <c r="Q66" i="2"/>
  <c r="AT65" i="2"/>
  <c r="K67" i="1" s="1"/>
  <c r="AG65" i="2"/>
  <c r="S65" i="2"/>
  <c r="Q65" i="2"/>
  <c r="O65" i="2"/>
  <c r="M65" i="2"/>
  <c r="K65" i="2"/>
  <c r="AT64" i="2"/>
  <c r="AN64" i="2"/>
  <c r="AO64" i="2" s="1"/>
  <c r="AG64" i="2"/>
  <c r="R64" i="2"/>
  <c r="Q64" i="2"/>
  <c r="O64" i="2"/>
  <c r="K64" i="2"/>
  <c r="K65" i="1"/>
  <c r="AW62" i="2"/>
  <c r="Q62" i="2"/>
  <c r="L62" i="2"/>
  <c r="M62" i="2" s="1"/>
  <c r="J62" i="2"/>
  <c r="G64" i="1" s="1"/>
  <c r="AY61" i="2"/>
  <c r="AW61" i="2"/>
  <c r="AR61" i="2"/>
  <c r="AO61" i="2"/>
  <c r="AM61" i="2"/>
  <c r="AH61" i="2"/>
  <c r="I63" i="1" s="1"/>
  <c r="R61" i="2"/>
  <c r="Q61" i="2"/>
  <c r="M61" i="2"/>
  <c r="K61" i="2"/>
  <c r="AY60" i="2"/>
  <c r="AW59" i="2"/>
  <c r="AR59" i="2"/>
  <c r="S59" i="2"/>
  <c r="Q59" i="2"/>
  <c r="K59" i="2"/>
  <c r="I60" i="1"/>
  <c r="F57" i="1"/>
  <c r="I57" i="1"/>
  <c r="F55" i="1"/>
  <c r="H54" i="1"/>
  <c r="K54" i="1"/>
  <c r="F54" i="1"/>
  <c r="F52" i="1"/>
  <c r="F49" i="1"/>
  <c r="G48" i="1"/>
  <c r="AY46" i="2"/>
  <c r="AW46" i="2"/>
  <c r="AS46" i="2"/>
  <c r="AH46" i="2" s="1"/>
  <c r="AO46" i="2"/>
  <c r="AM46" i="2"/>
  <c r="T46" i="2"/>
  <c r="R46" i="2"/>
  <c r="Q46" i="2"/>
  <c r="K46" i="2"/>
  <c r="AY45" i="2"/>
  <c r="AW45" i="2"/>
  <c r="AE45" i="2"/>
  <c r="O45" i="2"/>
  <c r="K45" i="2"/>
  <c r="S44" i="2"/>
  <c r="Q44" i="2"/>
  <c r="K44" i="2"/>
  <c r="AC43" i="2"/>
  <c r="S43" i="2"/>
  <c r="Q43" i="2"/>
  <c r="AY41" i="2"/>
  <c r="AW41" i="2"/>
  <c r="AS41" i="2"/>
  <c r="AO41" i="2"/>
  <c r="AM41" i="2"/>
  <c r="AK41" i="2"/>
  <c r="AG41" i="2"/>
  <c r="AE41" i="2"/>
  <c r="S41" i="2"/>
  <c r="Q41" i="2"/>
  <c r="M41" i="2"/>
  <c r="K41" i="2"/>
  <c r="I41" i="2"/>
  <c r="G41" i="2"/>
  <c r="F42" i="1" s="1"/>
  <c r="AW39" i="2"/>
  <c r="AR39" i="2"/>
  <c r="S39" i="2"/>
  <c r="Q39" i="2"/>
  <c r="O39" i="2"/>
  <c r="M39" i="2"/>
  <c r="S38" i="2"/>
  <c r="Q38" i="2"/>
  <c r="S37" i="2"/>
  <c r="Q37" i="2"/>
  <c r="F38" i="1"/>
  <c r="AO36" i="2"/>
  <c r="S36" i="2"/>
  <c r="Q36" i="2"/>
  <c r="O36" i="2"/>
  <c r="M36" i="2"/>
  <c r="K36" i="2"/>
  <c r="S35" i="2"/>
  <c r="Q35" i="2"/>
  <c r="K35" i="2"/>
  <c r="I35" i="2"/>
  <c r="AY34" i="2"/>
  <c r="AW34" i="2"/>
  <c r="AM34" i="2"/>
  <c r="AG34" i="2"/>
  <c r="AE34" i="2"/>
  <c r="S34" i="2"/>
  <c r="Q34" i="2"/>
  <c r="O34" i="2"/>
  <c r="M34" i="2"/>
  <c r="J34" i="2"/>
  <c r="AW33" i="2"/>
  <c r="AO33" i="2"/>
  <c r="AM33" i="2"/>
  <c r="AK33" i="2"/>
  <c r="I33" i="1"/>
  <c r="S33" i="2"/>
  <c r="Q33" i="2"/>
  <c r="M33" i="2"/>
  <c r="J33" i="2"/>
  <c r="G32" i="1"/>
  <c r="AH31" i="2"/>
  <c r="S31" i="2"/>
  <c r="Q31" i="2"/>
  <c r="J31" i="2"/>
  <c r="AX30" i="2"/>
  <c r="AY30" i="2" s="1"/>
  <c r="AV30" i="2"/>
  <c r="AS30" i="2"/>
  <c r="AH30" i="2" s="1"/>
  <c r="AN30" i="2"/>
  <c r="AO30" i="2" s="1"/>
  <c r="AF30" i="2"/>
  <c r="AG30" i="2" s="1"/>
  <c r="AD30" i="2"/>
  <c r="AE30" i="2" s="1"/>
  <c r="Z30" i="2"/>
  <c r="AA30" i="2" s="1"/>
  <c r="X30" i="2"/>
  <c r="Y30" i="2" s="1"/>
  <c r="T30" i="2"/>
  <c r="R30" i="2"/>
  <c r="P30" i="2"/>
  <c r="Q30" i="2" s="1"/>
  <c r="N30" i="2"/>
  <c r="O30" i="2" s="1"/>
  <c r="L30" i="2"/>
  <c r="M30" i="2" s="1"/>
  <c r="J30" i="2"/>
  <c r="G30" i="1" s="1"/>
  <c r="AX29" i="2"/>
  <c r="AY29" i="2" s="1"/>
  <c r="AV29" i="2"/>
  <c r="AS29" i="2"/>
  <c r="AH29" i="2" s="1"/>
  <c r="I29" i="1" s="1"/>
  <c r="AQ29" i="2"/>
  <c r="AN29" i="2"/>
  <c r="AO29" i="2" s="1"/>
  <c r="Q29" i="2"/>
  <c r="L29" i="2"/>
  <c r="M29" i="2" s="1"/>
  <c r="J29" i="2"/>
  <c r="I29" i="2"/>
  <c r="AY28" i="2"/>
  <c r="AW28" i="2"/>
  <c r="AO28" i="2"/>
  <c r="AM28" i="2"/>
  <c r="AK28" i="2"/>
  <c r="AG28" i="2"/>
  <c r="S28" i="2"/>
  <c r="Q28" i="2"/>
  <c r="O28" i="2"/>
  <c r="F28" i="1"/>
  <c r="AY27" i="2"/>
  <c r="AO27" i="2"/>
  <c r="Q27" i="2"/>
  <c r="M27" i="2"/>
  <c r="R27" i="2"/>
  <c r="S27" i="2" s="1"/>
  <c r="AX26" i="2"/>
  <c r="AY26" i="2" s="1"/>
  <c r="AV26" i="2"/>
  <c r="AS26" i="2"/>
  <c r="AH26" i="2" s="1"/>
  <c r="I26" i="1" s="1"/>
  <c r="AN26" i="2"/>
  <c r="AO26" i="2" s="1"/>
  <c r="AL26" i="2"/>
  <c r="AM26" i="2" s="1"/>
  <c r="AF26" i="2"/>
  <c r="AG26" i="2" s="1"/>
  <c r="AD26" i="2"/>
  <c r="AE26" i="2" s="1"/>
  <c r="Z26" i="2"/>
  <c r="AA26" i="2" s="1"/>
  <c r="W26" i="2"/>
  <c r="U26" i="2"/>
  <c r="Q26" i="2"/>
  <c r="L26" i="2"/>
  <c r="M26" i="2" s="1"/>
  <c r="J26" i="2"/>
  <c r="AX25" i="2"/>
  <c r="AY25" i="2" s="1"/>
  <c r="AV25" i="2"/>
  <c r="AS25" i="2"/>
  <c r="AH25" i="2" s="1"/>
  <c r="I25" i="1" s="1"/>
  <c r="AQ25" i="2"/>
  <c r="J25" i="1" s="1"/>
  <c r="AN25" i="2"/>
  <c r="AO25" i="2" s="1"/>
  <c r="AL25" i="2"/>
  <c r="AM25" i="2" s="1"/>
  <c r="AJ25" i="2"/>
  <c r="AK25" i="2" s="1"/>
  <c r="U25" i="2"/>
  <c r="V25" i="2" s="1"/>
  <c r="R25" i="2"/>
  <c r="H25" i="1" s="1"/>
  <c r="P25" i="2"/>
  <c r="Q25" i="2" s="1"/>
  <c r="N25" i="2"/>
  <c r="O25" i="2" s="1"/>
  <c r="L25" i="2"/>
  <c r="S24" i="2"/>
  <c r="Q24" i="2"/>
  <c r="J24" i="2"/>
  <c r="AQ24" i="2" s="1"/>
  <c r="S23" i="2"/>
  <c r="Q23" i="2"/>
  <c r="K23" i="2"/>
  <c r="S22" i="2"/>
  <c r="Q22" i="2"/>
  <c r="K22" i="2"/>
  <c r="S20" i="2"/>
  <c r="Q20" i="2"/>
  <c r="K20" i="2"/>
  <c r="AR19" i="2"/>
  <c r="S19" i="2"/>
  <c r="Q19" i="2"/>
  <c r="S18" i="2"/>
  <c r="Q18" i="2"/>
  <c r="K18" i="2"/>
  <c r="G18" i="2"/>
  <c r="F18" i="1" s="1"/>
  <c r="AW17" i="2"/>
  <c r="V17" i="2"/>
  <c r="S17" i="2"/>
  <c r="Q17" i="2"/>
  <c r="K17" i="2"/>
  <c r="AW16" i="2"/>
  <c r="S16" i="2"/>
  <c r="Q16" i="2"/>
  <c r="K16" i="2"/>
  <c r="AR15" i="2"/>
  <c r="S15" i="2"/>
  <c r="Q15" i="2"/>
  <c r="K15" i="2"/>
  <c r="AO14" i="2"/>
  <c r="Q14" i="2"/>
  <c r="L14" i="2"/>
  <c r="R14" i="2" s="1"/>
  <c r="K14" i="2"/>
  <c r="AY13" i="2"/>
  <c r="AW13" i="2"/>
  <c r="AO13" i="2"/>
  <c r="AM13" i="2"/>
  <c r="AK13" i="2"/>
  <c r="AH13" i="2"/>
  <c r="AG13" i="2"/>
  <c r="AE13" i="2"/>
  <c r="Z13" i="2"/>
  <c r="Y13" i="2"/>
  <c r="S13" i="2"/>
  <c r="P13" i="2"/>
  <c r="Q13" i="2" s="1"/>
  <c r="O13" i="2"/>
  <c r="L13" i="2"/>
  <c r="M13" i="2" s="1"/>
  <c r="R12" i="2"/>
  <c r="Q12" i="2"/>
  <c r="L12" i="2"/>
  <c r="M12" i="2" s="1"/>
  <c r="K12" i="2"/>
  <c r="AY11" i="2"/>
  <c r="AW11" i="2"/>
  <c r="AO11" i="2"/>
  <c r="AH11" i="2"/>
  <c r="AG11" i="2"/>
  <c r="AE11" i="2"/>
  <c r="AC11" i="2"/>
  <c r="S11" i="2"/>
  <c r="P11" i="2"/>
  <c r="Q11" i="2" s="1"/>
  <c r="N11" i="2"/>
  <c r="O11" i="2" s="1"/>
  <c r="M11" i="2"/>
  <c r="K11" i="2"/>
  <c r="AY10" i="2"/>
  <c r="AW10" i="2"/>
  <c r="AU10" i="2"/>
  <c r="AR10" i="2"/>
  <c r="AO10" i="2"/>
  <c r="AM10" i="2"/>
  <c r="AK10" i="2"/>
  <c r="AG10" i="2"/>
  <c r="AE10" i="2"/>
  <c r="AC10" i="2"/>
  <c r="Q10" i="2"/>
  <c r="M10" i="2"/>
  <c r="K10" i="2"/>
  <c r="AW9" i="2"/>
  <c r="AO9" i="2"/>
  <c r="AM9" i="2"/>
  <c r="AH9" i="2"/>
  <c r="S9" i="2"/>
  <c r="Q9" i="2"/>
  <c r="O9" i="2"/>
  <c r="M9" i="2"/>
  <c r="J9" i="2"/>
  <c r="G9" i="1" s="1"/>
  <c r="G9" i="2"/>
  <c r="F9" i="1" s="1"/>
  <c r="S8" i="2"/>
  <c r="Q8" i="2"/>
  <c r="O8" i="2"/>
  <c r="AR7" i="2"/>
  <c r="AO7" i="2"/>
  <c r="AM7" i="2"/>
  <c r="AK7" i="2"/>
  <c r="AH7" i="2"/>
  <c r="AG7" i="2"/>
  <c r="P7" i="2"/>
  <c r="Q7" i="2" s="1"/>
  <c r="O7" i="2"/>
  <c r="L7" i="2"/>
  <c r="M7" i="2" s="1"/>
  <c r="K7" i="2"/>
  <c r="I7" i="2"/>
  <c r="G7" i="2"/>
  <c r="F7" i="1" s="1"/>
  <c r="AW6" i="2"/>
  <c r="AU6" i="2"/>
  <c r="AS6" i="2"/>
  <c r="AR6" i="2"/>
  <c r="AO6" i="2"/>
  <c r="S6" i="2"/>
  <c r="Q6" i="2"/>
  <c r="K6" i="2"/>
  <c r="AF5" i="2"/>
  <c r="AG5" i="2" s="1"/>
  <c r="AD5" i="2"/>
  <c r="AE5" i="2" s="1"/>
  <c r="AA5" i="2"/>
  <c r="W5" i="2"/>
  <c r="U5" i="2"/>
  <c r="V5" i="2" s="1"/>
  <c r="S5" i="2"/>
  <c r="Q5" i="2"/>
  <c r="H5" i="2"/>
  <c r="AW3" i="2"/>
  <c r="AO3" i="2"/>
  <c r="S3" i="2"/>
  <c r="Q3" i="2"/>
  <c r="K3" i="2"/>
  <c r="AY2" i="2"/>
  <c r="AW2" i="2"/>
  <c r="AO2" i="2"/>
  <c r="AM2" i="2"/>
  <c r="AK2" i="2"/>
  <c r="AG2" i="2"/>
  <c r="S2" i="2"/>
  <c r="Q2" i="2"/>
  <c r="O2" i="2"/>
  <c r="M2" i="2"/>
  <c r="K2" i="2"/>
  <c r="AY36" i="2" l="1"/>
  <c r="AY201" i="2"/>
  <c r="AZ201" i="2"/>
  <c r="AW27" i="2"/>
  <c r="S10" i="2"/>
  <c r="AY33" i="2"/>
  <c r="AY70" i="2"/>
  <c r="AZ70" i="2"/>
  <c r="AY74" i="2"/>
  <c r="AZ74" i="2"/>
  <c r="AZ66" i="2"/>
  <c r="AH177" i="2"/>
  <c r="H65" i="1"/>
  <c r="L65" i="1"/>
  <c r="AB70" i="2"/>
  <c r="AC70" i="2" s="1"/>
  <c r="I69" i="1"/>
  <c r="Y158" i="2"/>
  <c r="AY137" i="2"/>
  <c r="K169" i="1"/>
  <c r="AT71" i="2"/>
  <c r="AU71" i="2" s="1"/>
  <c r="K24" i="2"/>
  <c r="J25" i="2"/>
  <c r="K25" i="2" s="1"/>
  <c r="S25" i="2"/>
  <c r="X26" i="2"/>
  <c r="AB26" i="2" s="1"/>
  <c r="AC26" i="2" s="1"/>
  <c r="AT28" i="2"/>
  <c r="AQ28" i="2" s="1"/>
  <c r="I2" i="1"/>
  <c r="H150" i="1"/>
  <c r="H146" i="1"/>
  <c r="H144" i="1"/>
  <c r="G62" i="1"/>
  <c r="H162" i="1"/>
  <c r="H161" i="1"/>
  <c r="S191" i="2"/>
  <c r="K192" i="2"/>
  <c r="AQ83" i="2"/>
  <c r="AR83" i="2" s="1"/>
  <c r="G54" i="1"/>
  <c r="G45" i="1"/>
  <c r="G123" i="1"/>
  <c r="I28" i="1"/>
  <c r="G29" i="1"/>
  <c r="K29" i="2"/>
  <c r="K43" i="1"/>
  <c r="I43" i="1"/>
  <c r="H55" i="1"/>
  <c r="AW70" i="2"/>
  <c r="L72" i="1"/>
  <c r="H73" i="1"/>
  <c r="I100" i="1"/>
  <c r="K118" i="1"/>
  <c r="I119" i="1"/>
  <c r="I151" i="1"/>
  <c r="AU206" i="2"/>
  <c r="K206" i="1"/>
  <c r="AH206" i="2"/>
  <c r="H213" i="1"/>
  <c r="H229" i="1"/>
  <c r="J230" i="1"/>
  <c r="S225" i="2"/>
  <c r="H232" i="1"/>
  <c r="I232" i="1"/>
  <c r="H4" i="1"/>
  <c r="I13" i="1"/>
  <c r="AW25" i="2"/>
  <c r="L25" i="1"/>
  <c r="AW30" i="2"/>
  <c r="L30" i="1"/>
  <c r="K33" i="2"/>
  <c r="G33" i="1"/>
  <c r="L36" i="1"/>
  <c r="AW36" i="2"/>
  <c r="J110" i="1"/>
  <c r="AR106" i="2"/>
  <c r="AH113" i="2"/>
  <c r="G117" i="1"/>
  <c r="H118" i="1"/>
  <c r="M124" i="2"/>
  <c r="R124" i="2"/>
  <c r="I140" i="1"/>
  <c r="I186" i="1"/>
  <c r="I188" i="1"/>
  <c r="I194" i="1"/>
  <c r="Q205" i="2"/>
  <c r="L205" i="2"/>
  <c r="R205" i="2" s="1"/>
  <c r="K240" i="1"/>
  <c r="I240" i="1"/>
  <c r="K241" i="1"/>
  <c r="I241" i="1"/>
  <c r="I243" i="1"/>
  <c r="S12" i="2"/>
  <c r="H12" i="1"/>
  <c r="AB13" i="2"/>
  <c r="AC13" i="2" s="1"/>
  <c r="AA13" i="2"/>
  <c r="I34" i="1"/>
  <c r="I47" i="1"/>
  <c r="K48" i="1"/>
  <c r="G69" i="1"/>
  <c r="J78" i="1"/>
  <c r="J80" i="1"/>
  <c r="G85" i="1"/>
  <c r="I116" i="1"/>
  <c r="J123" i="1"/>
  <c r="K172" i="2"/>
  <c r="G173" i="1"/>
  <c r="H175" i="1"/>
  <c r="K181" i="1"/>
  <c r="M181" i="2"/>
  <c r="R181" i="2"/>
  <c r="AQ181" i="2"/>
  <c r="K182" i="1"/>
  <c r="K187" i="1"/>
  <c r="K193" i="1"/>
  <c r="AU193" i="2"/>
  <c r="I226" i="1"/>
  <c r="K236" i="1"/>
  <c r="H237" i="1"/>
  <c r="S29" i="2"/>
  <c r="H29" i="1"/>
  <c r="AW29" i="2"/>
  <c r="L29" i="1"/>
  <c r="I46" i="1"/>
  <c r="I61" i="1"/>
  <c r="S64" i="2"/>
  <c r="H66" i="1"/>
  <c r="K66" i="2"/>
  <c r="G68" i="1"/>
  <c r="R66" i="2"/>
  <c r="S109" i="2"/>
  <c r="H113" i="1"/>
  <c r="I114" i="1"/>
  <c r="I123" i="1"/>
  <c r="AR142" i="2"/>
  <c r="J146" i="1"/>
  <c r="I170" i="1"/>
  <c r="I185" i="1"/>
  <c r="I192" i="1"/>
  <c r="K197" i="1"/>
  <c r="I200" i="1"/>
  <c r="H217" i="1"/>
  <c r="I247" i="1"/>
  <c r="L48" i="1"/>
  <c r="L54" i="1"/>
  <c r="S61" i="2"/>
  <c r="H63" i="1"/>
  <c r="AU64" i="2"/>
  <c r="K66" i="1"/>
  <c r="AR70" i="2"/>
  <c r="J72" i="1"/>
  <c r="I74" i="1"/>
  <c r="AW73" i="2"/>
  <c r="L75" i="1"/>
  <c r="I94" i="1"/>
  <c r="I97" i="1"/>
  <c r="H100" i="1"/>
  <c r="I110" i="1"/>
  <c r="I115" i="1"/>
  <c r="I118" i="1"/>
  <c r="K133" i="1"/>
  <c r="H135" i="1"/>
  <c r="K138" i="1"/>
  <c r="K139" i="2"/>
  <c r="G143" i="1"/>
  <c r="J144" i="1"/>
  <c r="AT141" i="2"/>
  <c r="I145" i="1"/>
  <c r="G147" i="1"/>
  <c r="H152" i="1"/>
  <c r="K164" i="1"/>
  <c r="AT164" i="2"/>
  <c r="AQ164" i="2" s="1"/>
  <c r="I165" i="1"/>
  <c r="I166" i="1"/>
  <c r="H170" i="1"/>
  <c r="I171" i="1"/>
  <c r="I174" i="1"/>
  <c r="S175" i="2"/>
  <c r="H176" i="1"/>
  <c r="AU179" i="2"/>
  <c r="K180" i="1"/>
  <c r="S183" i="2"/>
  <c r="H184" i="1"/>
  <c r="I187" i="1"/>
  <c r="J188" i="1"/>
  <c r="S202" i="2"/>
  <c r="H201" i="1"/>
  <c r="AT209" i="2"/>
  <c r="K209" i="1" s="1"/>
  <c r="I209" i="1"/>
  <c r="J211" i="1"/>
  <c r="I213" i="1"/>
  <c r="H227" i="1"/>
  <c r="I235" i="1"/>
  <c r="K235" i="1"/>
  <c r="I236" i="1"/>
  <c r="H238" i="1"/>
  <c r="H239" i="1"/>
  <c r="I242" i="1"/>
  <c r="K242" i="1"/>
  <c r="K246" i="1"/>
  <c r="I246" i="1"/>
  <c r="K248" i="1"/>
  <c r="I248" i="1"/>
  <c r="I249" i="1"/>
  <c r="K250" i="1"/>
  <c r="I250" i="1"/>
  <c r="K56" i="1"/>
  <c r="K218" i="1"/>
  <c r="I32" i="1"/>
  <c r="I4" i="1"/>
  <c r="I7" i="1"/>
  <c r="K9" i="2"/>
  <c r="AR24" i="2"/>
  <c r="J24" i="1"/>
  <c r="AR25" i="2"/>
  <c r="R26" i="2"/>
  <c r="AT29" i="2"/>
  <c r="J29" i="1"/>
  <c r="S30" i="2"/>
  <c r="H30" i="1"/>
  <c r="AT31" i="2"/>
  <c r="I37" i="1"/>
  <c r="S45" i="2"/>
  <c r="H46" i="1"/>
  <c r="I49" i="1"/>
  <c r="K52" i="1"/>
  <c r="I52" i="1"/>
  <c r="I53" i="1"/>
  <c r="I55" i="1"/>
  <c r="J62" i="1"/>
  <c r="AW66" i="2"/>
  <c r="L68" i="1"/>
  <c r="I71" i="1"/>
  <c r="I72" i="1"/>
  <c r="I73" i="1"/>
  <c r="AU72" i="2"/>
  <c r="K74" i="1"/>
  <c r="J77" i="1"/>
  <c r="I95" i="1"/>
  <c r="AT94" i="2"/>
  <c r="K98" i="1" s="1"/>
  <c r="I98" i="1"/>
  <c r="AU108" i="2"/>
  <c r="K112" i="1"/>
  <c r="S112" i="2"/>
  <c r="H116" i="1"/>
  <c r="S116" i="2"/>
  <c r="H120" i="1"/>
  <c r="S117" i="2"/>
  <c r="H121" i="1"/>
  <c r="H122" i="1"/>
  <c r="AT120" i="2"/>
  <c r="I124" i="1"/>
  <c r="I129" i="1"/>
  <c r="AU125" i="2"/>
  <c r="K129" i="1"/>
  <c r="H133" i="1"/>
  <c r="K135" i="1"/>
  <c r="S138" i="2"/>
  <c r="H142" i="1"/>
  <c r="I154" i="1"/>
  <c r="I160" i="1"/>
  <c r="K158" i="2"/>
  <c r="G161" i="1"/>
  <c r="I168" i="1"/>
  <c r="H171" i="1"/>
  <c r="S177" i="2"/>
  <c r="H178" i="1"/>
  <c r="H179" i="1"/>
  <c r="H181" i="1"/>
  <c r="I182" i="1"/>
  <c r="AT183" i="2"/>
  <c r="AU183" i="2" s="1"/>
  <c r="I184" i="1"/>
  <c r="AU185" i="2"/>
  <c r="K186" i="1"/>
  <c r="AT188" i="2"/>
  <c r="I189" i="1"/>
  <c r="I190" i="1"/>
  <c r="I193" i="1"/>
  <c r="I197" i="1"/>
  <c r="S199" i="2"/>
  <c r="H198" i="1"/>
  <c r="K202" i="2"/>
  <c r="G201" i="1"/>
  <c r="I208" i="1"/>
  <c r="I211" i="1"/>
  <c r="K216" i="1"/>
  <c r="I216" i="1"/>
  <c r="K228" i="1"/>
  <c r="I228" i="1"/>
  <c r="I234" i="1"/>
  <c r="H235" i="1"/>
  <c r="I239" i="1"/>
  <c r="K244" i="1"/>
  <c r="I244" i="1"/>
  <c r="K62" i="1"/>
  <c r="K50" i="1"/>
  <c r="G31" i="1"/>
  <c r="G24" i="1"/>
  <c r="G199" i="1"/>
  <c r="K119" i="1"/>
  <c r="K76" i="1"/>
  <c r="S14" i="2"/>
  <c r="H14" i="1"/>
  <c r="I31" i="1"/>
  <c r="K34" i="1"/>
  <c r="K7" i="1"/>
  <c r="AT9" i="2"/>
  <c r="AQ9" i="2" s="1"/>
  <c r="I9" i="1"/>
  <c r="K11" i="1"/>
  <c r="I11" i="1"/>
  <c r="AW26" i="2"/>
  <c r="L26" i="1"/>
  <c r="I30" i="1"/>
  <c r="K36" i="1"/>
  <c r="I36" i="1"/>
  <c r="S46" i="2"/>
  <c r="H47" i="1"/>
  <c r="H48" i="1"/>
  <c r="I48" i="1"/>
  <c r="J48" i="1"/>
  <c r="H49" i="1"/>
  <c r="H53" i="1"/>
  <c r="K58" i="1"/>
  <c r="I58" i="1"/>
  <c r="I59" i="1"/>
  <c r="H62" i="1"/>
  <c r="K71" i="1"/>
  <c r="S69" i="2"/>
  <c r="H71" i="1"/>
  <c r="AW69" i="2"/>
  <c r="L71" i="1"/>
  <c r="AU70" i="2"/>
  <c r="K72" i="1"/>
  <c r="I78" i="1"/>
  <c r="AU83" i="2"/>
  <c r="S86" i="2"/>
  <c r="H89" i="1"/>
  <c r="K88" i="2"/>
  <c r="G91" i="1"/>
  <c r="AR88" i="2"/>
  <c r="J91" i="1"/>
  <c r="I93" i="1"/>
  <c r="S107" i="2"/>
  <c r="H111" i="1"/>
  <c r="AR111" i="2"/>
  <c r="J115" i="1"/>
  <c r="K115" i="2"/>
  <c r="G119" i="1"/>
  <c r="I120" i="1"/>
  <c r="AT117" i="2"/>
  <c r="K121" i="1" s="1"/>
  <c r="I121" i="1"/>
  <c r="I133" i="1"/>
  <c r="AU132" i="2"/>
  <c r="K136" i="1"/>
  <c r="I138" i="1"/>
  <c r="S135" i="2"/>
  <c r="H139" i="1"/>
  <c r="S136" i="2"/>
  <c r="H140" i="1"/>
  <c r="S137" i="2"/>
  <c r="H141" i="1"/>
  <c r="AR137" i="2"/>
  <c r="J141" i="1"/>
  <c r="H151" i="1"/>
  <c r="K159" i="1"/>
  <c r="I162" i="1"/>
  <c r="H164" i="1"/>
  <c r="I169" i="1"/>
  <c r="J171" i="1"/>
  <c r="K175" i="1"/>
  <c r="AU177" i="2"/>
  <c r="K178" i="1"/>
  <c r="I180" i="1"/>
  <c r="S185" i="2"/>
  <c r="H186" i="1"/>
  <c r="I195" i="1"/>
  <c r="K196" i="1"/>
  <c r="I196" i="1"/>
  <c r="K202" i="1"/>
  <c r="I202" i="1"/>
  <c r="S209" i="2"/>
  <c r="H209" i="1"/>
  <c r="I212" i="1"/>
  <c r="H214" i="1"/>
  <c r="I217" i="1"/>
  <c r="I229" i="1"/>
  <c r="L229" i="1"/>
  <c r="I237" i="1"/>
  <c r="K41" i="1"/>
  <c r="G39" i="1"/>
  <c r="G38" i="1"/>
  <c r="G34" i="1"/>
  <c r="G26" i="1"/>
  <c r="G185" i="1"/>
  <c r="H27" i="1"/>
  <c r="I10" i="1"/>
  <c r="I141" i="1"/>
  <c r="AT30" i="2"/>
  <c r="AT61" i="2"/>
  <c r="K30" i="2"/>
  <c r="K31" i="2"/>
  <c r="P167" i="2"/>
  <c r="Q167" i="2" s="1"/>
  <c r="R167" i="2"/>
  <c r="N167" i="2"/>
  <c r="O167" i="2" s="1"/>
  <c r="M167" i="2"/>
  <c r="R7" i="2"/>
  <c r="M25" i="2"/>
  <c r="K27" i="2"/>
  <c r="AR29" i="2"/>
  <c r="M14" i="2"/>
  <c r="V26" i="2"/>
  <c r="K34" i="2"/>
  <c r="S187" i="2"/>
  <c r="L187" i="2"/>
  <c r="M187" i="2" s="1"/>
  <c r="AT25" i="2"/>
  <c r="K26" i="2"/>
  <c r="AB30" i="2"/>
  <c r="AC30" i="2" s="1"/>
  <c r="AH41" i="2"/>
  <c r="I42" i="1" s="1"/>
  <c r="AT68" i="2"/>
  <c r="AT95" i="2"/>
  <c r="K99" i="1" s="1"/>
  <c r="AT133" i="2"/>
  <c r="AH133" i="2"/>
  <c r="I137" i="1" s="1"/>
  <c r="M171" i="2"/>
  <c r="R171" i="2"/>
  <c r="AT199" i="2"/>
  <c r="R176" i="2"/>
  <c r="AT190" i="2"/>
  <c r="AU190" i="2" s="1"/>
  <c r="R74" i="2"/>
  <c r="K113" i="2"/>
  <c r="M142" i="2"/>
  <c r="I159" i="1"/>
  <c r="AT184" i="2"/>
  <c r="AT192" i="2"/>
  <c r="AN193" i="2"/>
  <c r="AO193" i="2" s="1"/>
  <c r="AT26" i="2"/>
  <c r="AQ26" i="2" s="1"/>
  <c r="AU34" i="2"/>
  <c r="AU36" i="2"/>
  <c r="K2" i="1"/>
  <c r="X5" i="2"/>
  <c r="J13" i="2"/>
  <c r="G13" i="1" s="1"/>
  <c r="L28" i="2"/>
  <c r="M28" i="2" s="1"/>
  <c r="U29" i="2"/>
  <c r="K33" i="1"/>
  <c r="K37" i="1"/>
  <c r="K49" i="1"/>
  <c r="Z29" i="2"/>
  <c r="AA29" i="2" s="1"/>
  <c r="AD29" i="2"/>
  <c r="AE29" i="2" s="1"/>
  <c r="AT46" i="2"/>
  <c r="K47" i="1" s="1"/>
  <c r="W29" i="2"/>
  <c r="K60" i="1"/>
  <c r="R62" i="2"/>
  <c r="K62" i="2"/>
  <c r="K68" i="1"/>
  <c r="L46" i="2"/>
  <c r="M46" i="2" s="1"/>
  <c r="L86" i="2"/>
  <c r="M86" i="2" s="1"/>
  <c r="AT91" i="2"/>
  <c r="AT112" i="2"/>
  <c r="K116" i="1" s="1"/>
  <c r="AT116" i="2"/>
  <c r="K120" i="1" s="1"/>
  <c r="I144" i="1"/>
  <c r="AT202" i="2"/>
  <c r="K201" i="1" s="1"/>
  <c r="AU209" i="2"/>
  <c r="K69" i="2"/>
  <c r="AT93" i="2"/>
  <c r="L107" i="2"/>
  <c r="M107" i="2" s="1"/>
  <c r="R115" i="2"/>
  <c r="AH132" i="2"/>
  <c r="I136" i="1" s="1"/>
  <c r="AH175" i="2"/>
  <c r="I176" i="1" s="1"/>
  <c r="AT175" i="2"/>
  <c r="AU181" i="2"/>
  <c r="R201" i="2"/>
  <c r="K200" i="1"/>
  <c r="M209" i="2"/>
  <c r="K170" i="1"/>
  <c r="R192" i="2"/>
  <c r="K210" i="1"/>
  <c r="M185" i="2"/>
  <c r="I238" i="1"/>
  <c r="I227" i="1"/>
  <c r="M225" i="2"/>
  <c r="AQ95" i="2" l="1"/>
  <c r="AR95" i="2" s="1"/>
  <c r="AQ209" i="2"/>
  <c r="AR209" i="2" s="1"/>
  <c r="Y26" i="2"/>
  <c r="M205" i="2"/>
  <c r="J86" i="1"/>
  <c r="K28" i="1"/>
  <c r="G25" i="1"/>
  <c r="I178" i="1"/>
  <c r="J202" i="1"/>
  <c r="J52" i="1"/>
  <c r="J246" i="1"/>
  <c r="AU95" i="2"/>
  <c r="AU94" i="2"/>
  <c r="AU117" i="2"/>
  <c r="AQ94" i="2"/>
  <c r="AR94" i="2" s="1"/>
  <c r="AQ117" i="2"/>
  <c r="J121" i="1" s="1"/>
  <c r="J196" i="1"/>
  <c r="AU69" i="2"/>
  <c r="AQ202" i="2"/>
  <c r="AR202" i="2" s="1"/>
  <c r="K234" i="1"/>
  <c r="H240" i="1"/>
  <c r="S201" i="2"/>
  <c r="H200" i="1"/>
  <c r="AR164" i="2"/>
  <c r="J165" i="1"/>
  <c r="J118" i="1"/>
  <c r="H78" i="1"/>
  <c r="K4" i="1"/>
  <c r="J65" i="1"/>
  <c r="K123" i="1"/>
  <c r="AQ190" i="2"/>
  <c r="K190" i="1"/>
  <c r="S176" i="2"/>
  <c r="H177" i="1"/>
  <c r="H77" i="1"/>
  <c r="AU25" i="2"/>
  <c r="K25" i="1"/>
  <c r="I122" i="1"/>
  <c r="AU9" i="2"/>
  <c r="K9" i="1"/>
  <c r="S26" i="2"/>
  <c r="H26" i="1"/>
  <c r="K174" i="1"/>
  <c r="AU164" i="2"/>
  <c r="K165" i="1"/>
  <c r="H153" i="1"/>
  <c r="K147" i="1"/>
  <c r="AR181" i="2"/>
  <c r="J182" i="1"/>
  <c r="K243" i="1"/>
  <c r="K100" i="1"/>
  <c r="K217" i="1"/>
  <c r="J212" i="1"/>
  <c r="J216" i="1"/>
  <c r="AR26" i="2"/>
  <c r="J26" i="1"/>
  <c r="K229" i="1"/>
  <c r="K160" i="1"/>
  <c r="AU199" i="2"/>
  <c r="K198" i="1"/>
  <c r="AU133" i="2"/>
  <c r="K137" i="1"/>
  <c r="AU68" i="2"/>
  <c r="K70" i="1"/>
  <c r="K32" i="1"/>
  <c r="H228" i="1"/>
  <c r="S7" i="2"/>
  <c r="H7" i="1"/>
  <c r="K122" i="1"/>
  <c r="AU30" i="2"/>
  <c r="K30" i="1"/>
  <c r="K73" i="1"/>
  <c r="K53" i="1"/>
  <c r="J197" i="1"/>
  <c r="S66" i="2"/>
  <c r="H68" i="1"/>
  <c r="AU45" i="2"/>
  <c r="K46" i="1"/>
  <c r="J187" i="1"/>
  <c r="S181" i="2"/>
  <c r="H182" i="1"/>
  <c r="S205" i="2"/>
  <c r="H205" i="1"/>
  <c r="J250" i="1"/>
  <c r="K179" i="1"/>
  <c r="K214" i="1"/>
  <c r="K158" i="1"/>
  <c r="J71" i="1"/>
  <c r="J46" i="1"/>
  <c r="K57" i="1"/>
  <c r="AR36" i="2"/>
  <c r="J36" i="1"/>
  <c r="J43" i="1"/>
  <c r="AU192" i="2"/>
  <c r="K192" i="1"/>
  <c r="H80" i="1"/>
  <c r="K245" i="1"/>
  <c r="S171" i="2"/>
  <c r="H172" i="1"/>
  <c r="K59" i="1"/>
  <c r="H155" i="1"/>
  <c r="K239" i="1"/>
  <c r="AU188" i="2"/>
  <c r="K189" i="1"/>
  <c r="AQ183" i="2"/>
  <c r="K184" i="1"/>
  <c r="AS120" i="2"/>
  <c r="K124" i="1"/>
  <c r="K213" i="1"/>
  <c r="AU141" i="2"/>
  <c r="K145" i="1"/>
  <c r="S124" i="2"/>
  <c r="H128" i="1"/>
  <c r="H226" i="1"/>
  <c r="J214" i="1"/>
  <c r="J248" i="1"/>
  <c r="S192" i="2"/>
  <c r="H192" i="1"/>
  <c r="AU175" i="2"/>
  <c r="K176" i="1"/>
  <c r="S115" i="2"/>
  <c r="H119" i="1"/>
  <c r="AU93" i="2"/>
  <c r="K97" i="1"/>
  <c r="J209" i="1"/>
  <c r="AU91" i="2"/>
  <c r="K95" i="1"/>
  <c r="S62" i="2"/>
  <c r="H64" i="1"/>
  <c r="K39" i="2"/>
  <c r="G40" i="1"/>
  <c r="AR9" i="2"/>
  <c r="J9" i="1"/>
  <c r="J34" i="1"/>
  <c r="AU26" i="2"/>
  <c r="K26" i="1"/>
  <c r="AU184" i="2"/>
  <c r="K185" i="1"/>
  <c r="I135" i="1"/>
  <c r="S74" i="2"/>
  <c r="H76" i="1"/>
  <c r="K249" i="1"/>
  <c r="J169" i="1"/>
  <c r="K55" i="1"/>
  <c r="S167" i="2"/>
  <c r="H168" i="1"/>
  <c r="K150" i="1"/>
  <c r="H241" i="1"/>
  <c r="AU61" i="2"/>
  <c r="K63" i="1"/>
  <c r="K212" i="1"/>
  <c r="I112" i="1"/>
  <c r="AU31" i="2"/>
  <c r="K31" i="1"/>
  <c r="AU29" i="2"/>
  <c r="K29" i="1"/>
  <c r="K247" i="1"/>
  <c r="K226" i="1"/>
  <c r="I117" i="1"/>
  <c r="I206" i="1"/>
  <c r="AQ30" i="2"/>
  <c r="AT41" i="2"/>
  <c r="K42" i="1" s="1"/>
  <c r="AQ199" i="2"/>
  <c r="AQ201" i="2"/>
  <c r="AU201" i="2"/>
  <c r="AU112" i="2"/>
  <c r="AQ112" i="2"/>
  <c r="AU46" i="2"/>
  <c r="AQ46" i="2"/>
  <c r="AU28" i="2"/>
  <c r="AB5" i="2"/>
  <c r="AC5" i="2" s="1"/>
  <c r="Y5" i="2"/>
  <c r="K227" i="1"/>
  <c r="K238" i="1"/>
  <c r="AU33" i="2"/>
  <c r="AT13" i="2"/>
  <c r="K13" i="1" s="1"/>
  <c r="K13" i="2"/>
  <c r="AU2" i="2"/>
  <c r="AQ116" i="2"/>
  <c r="AU116" i="2"/>
  <c r="AU66" i="2"/>
  <c r="X29" i="2"/>
  <c r="V29" i="2"/>
  <c r="AT27" i="2"/>
  <c r="K27" i="1" s="1"/>
  <c r="J99" i="1" l="1"/>
  <c r="J241" i="1"/>
  <c r="J201" i="1"/>
  <c r="J228" i="1"/>
  <c r="J240" i="1"/>
  <c r="AR117" i="2"/>
  <c r="J244" i="1"/>
  <c r="J98" i="1"/>
  <c r="J11" i="1"/>
  <c r="J49" i="1"/>
  <c r="J37" i="1"/>
  <c r="J2" i="1"/>
  <c r="AR33" i="2"/>
  <c r="J33" i="1"/>
  <c r="AR46" i="2"/>
  <c r="J47" i="1"/>
  <c r="AR199" i="2"/>
  <c r="J198" i="1"/>
  <c r="J247" i="1"/>
  <c r="J60" i="1"/>
  <c r="J217" i="1"/>
  <c r="AR201" i="2"/>
  <c r="J200" i="1"/>
  <c r="J32" i="1"/>
  <c r="AR30" i="2"/>
  <c r="J30" i="1"/>
  <c r="J213" i="1"/>
  <c r="J249" i="1"/>
  <c r="AR183" i="2"/>
  <c r="J184" i="1"/>
  <c r="J245" i="1"/>
  <c r="J100" i="1"/>
  <c r="J4" i="1"/>
  <c r="J210" i="1"/>
  <c r="AR28" i="2"/>
  <c r="J28" i="1"/>
  <c r="AR112" i="2"/>
  <c r="J116" i="1"/>
  <c r="J226" i="1"/>
  <c r="AR116" i="2"/>
  <c r="J120" i="1"/>
  <c r="J68" i="1"/>
  <c r="AR169" i="2"/>
  <c r="J170" i="1"/>
  <c r="J229" i="1"/>
  <c r="J243" i="1"/>
  <c r="AR190" i="2"/>
  <c r="J190" i="1"/>
  <c r="AU41" i="2"/>
  <c r="AQ41" i="2"/>
  <c r="AQ13" i="2"/>
  <c r="AU13" i="2"/>
  <c r="AB29" i="2"/>
  <c r="AC29" i="2" s="1"/>
  <c r="Y29" i="2"/>
  <c r="AU27" i="2"/>
  <c r="AQ27" i="2"/>
  <c r="J227" i="1" l="1"/>
  <c r="AR13" i="2"/>
  <c r="J13" i="1"/>
  <c r="J238" i="1"/>
  <c r="AR41" i="2"/>
  <c r="J42" i="1"/>
  <c r="AR27" i="2"/>
  <c r="J27" i="1"/>
  <c r="T29" i="10"/>
  <c r="R62" i="10"/>
  <c r="T11" i="10"/>
  <c r="Q29" i="10"/>
  <c r="T43" i="10"/>
  <c r="S56" i="10"/>
  <c r="S62" i="10"/>
  <c r="T69" i="10"/>
  <c r="S103" i="10"/>
  <c r="T119" i="10"/>
  <c r="T129" i="10"/>
  <c r="R145" i="10"/>
  <c r="T158" i="10"/>
  <c r="T182" i="10"/>
  <c r="R191" i="10"/>
  <c r="R194" i="10"/>
  <c r="T200" i="10"/>
  <c r="R207" i="10"/>
  <c r="S218" i="10"/>
  <c r="S236" i="10"/>
  <c r="R239" i="10"/>
  <c r="S242" i="10"/>
  <c r="R245" i="10"/>
  <c r="T247" i="10"/>
  <c r="S250" i="10"/>
  <c r="R253" i="10"/>
  <c r="R26" i="10"/>
  <c r="T26" i="10"/>
  <c r="S55" i="10"/>
  <c r="Q26" i="10"/>
  <c r="R29" i="10"/>
  <c r="S51" i="10"/>
  <c r="T56" i="10"/>
  <c r="T62" i="10"/>
  <c r="R70" i="10"/>
  <c r="T103" i="10"/>
  <c r="T126" i="10"/>
  <c r="R130" i="10"/>
  <c r="S145" i="10"/>
  <c r="X161" i="10"/>
  <c r="R186" i="10"/>
  <c r="S191" i="10"/>
  <c r="S194" i="10"/>
  <c r="R203" i="10"/>
  <c r="S207" i="10"/>
  <c r="R234" i="10"/>
  <c r="T236" i="10"/>
  <c r="S239" i="10"/>
  <c r="T242" i="10"/>
  <c r="S245" i="10"/>
  <c r="R248" i="10"/>
  <c r="T250" i="10"/>
  <c r="S253" i="10"/>
  <c r="X54" i="10"/>
  <c r="S57" i="10"/>
  <c r="T68" i="10"/>
  <c r="R87" i="10"/>
  <c r="S116" i="10"/>
  <c r="T127" i="10"/>
  <c r="T132" i="10"/>
  <c r="Q156" i="10"/>
  <c r="T170" i="10"/>
  <c r="T189" i="10"/>
  <c r="S192" i="10"/>
  <c r="S199" i="10"/>
  <c r="Q206" i="10"/>
  <c r="R208" i="10"/>
  <c r="R235" i="10"/>
  <c r="T237" i="10"/>
  <c r="S240" i="10"/>
  <c r="T243" i="10"/>
  <c r="S246" i="10"/>
  <c r="R249" i="10"/>
  <c r="T251" i="10"/>
  <c r="T254" i="10"/>
  <c r="T42" i="10"/>
  <c r="X68" i="10"/>
  <c r="T89" i="10"/>
  <c r="T116" i="10"/>
  <c r="R128" i="10"/>
  <c r="R144" i="10"/>
  <c r="R156" i="10"/>
  <c r="X175" i="10"/>
  <c r="R190" i="10"/>
  <c r="T192" i="10"/>
  <c r="T199" i="10"/>
  <c r="R206" i="10"/>
  <c r="S208" i="10"/>
  <c r="S235" i="10"/>
  <c r="R238" i="10"/>
  <c r="T240" i="10"/>
  <c r="R244" i="10"/>
  <c r="T246" i="10"/>
  <c r="S249" i="10"/>
  <c r="R252" i="10"/>
  <c r="R255" i="10"/>
  <c r="R69" i="10"/>
  <c r="S70" i="10"/>
  <c r="Q103" i="10"/>
  <c r="T107" i="10"/>
  <c r="R119" i="10"/>
  <c r="R127" i="10"/>
  <c r="S128" i="10"/>
  <c r="S130" i="10"/>
  <c r="S144" i="10"/>
  <c r="T145" i="10"/>
  <c r="S156" i="10"/>
  <c r="T163" i="10"/>
  <c r="X176" i="10"/>
  <c r="S186" i="10"/>
  <c r="S190" i="10"/>
  <c r="T191" i="10"/>
  <c r="R193" i="10"/>
  <c r="S198" i="10"/>
  <c r="R200" i="10"/>
  <c r="S203" i="10"/>
  <c r="S206" i="10"/>
  <c r="T207" i="10"/>
  <c r="T208" i="10"/>
  <c r="S234" i="10"/>
  <c r="T235" i="10"/>
  <c r="R237" i="10"/>
  <c r="S238" i="10"/>
  <c r="T239" i="10"/>
  <c r="X241" i="10"/>
  <c r="R243" i="10"/>
  <c r="S244" i="10"/>
  <c r="T245" i="10"/>
  <c r="R247" i="10"/>
  <c r="S248" i="10"/>
  <c r="T249" i="10"/>
  <c r="R251" i="10"/>
  <c r="S252" i="10"/>
  <c r="T253" i="10"/>
  <c r="S255" i="10"/>
  <c r="T10" i="10"/>
  <c r="S26" i="10"/>
  <c r="S29" i="10"/>
  <c r="T50" i="10"/>
  <c r="R56" i="10"/>
  <c r="Q62" i="10"/>
  <c r="T67" i="10"/>
  <c r="S69" i="10"/>
  <c r="T70" i="10"/>
  <c r="R103" i="10"/>
  <c r="T113" i="10"/>
  <c r="S119" i="10"/>
  <c r="S127" i="10"/>
  <c r="T128" i="10"/>
  <c r="T130" i="10"/>
  <c r="T144" i="10"/>
  <c r="T147" i="10"/>
  <c r="T156" i="10"/>
  <c r="T167" i="10"/>
  <c r="T178" i="10"/>
  <c r="T186" i="10"/>
  <c r="T190" i="10"/>
  <c r="R192" i="10"/>
  <c r="S193" i="10"/>
  <c r="R199" i="10"/>
  <c r="S200" i="10"/>
  <c r="T203" i="10"/>
  <c r="T206" i="10"/>
  <c r="Q208" i="10"/>
  <c r="S217" i="10"/>
  <c r="T234" i="10"/>
  <c r="R236" i="10"/>
  <c r="S237" i="10"/>
  <c r="T238" i="10"/>
  <c r="R240" i="10"/>
  <c r="R242" i="10"/>
  <c r="S243" i="10"/>
  <c r="T244" i="10"/>
  <c r="R246" i="10"/>
  <c r="S247" i="10"/>
  <c r="T248" i="10"/>
  <c r="R250" i="10"/>
  <c r="S251" i="10"/>
  <c r="T252" i="10"/>
  <c r="S254" i="10"/>
  <c r="T255" i="10"/>
  <c r="R256" i="10"/>
  <c r="S256" i="10"/>
  <c r="T25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tc={B3B44DE9-E7CD-4B8C-BFCE-33CF43B470FB}</author>
    <author>tc={AF8357F3-B921-41C4-AD81-1CEA1842C723}</author>
    <author>tc={7854289D-15B7-42B0-9CC3-CF733177F628}</author>
    <author>tc={0907D01F-0332-4B5C-99F6-A008F27CFA41}</author>
    <author>tc={96FF4FFD-43E3-4F5C-91ED-1317D4DF5DFB}</author>
    <author>tc={59CEED51-2636-45F9-9D83-0F0A84998B5E}</author>
    <author>tc={116B8077-6157-43E4-8A56-17482A995B27}</author>
    <author>tc={1DB89E38-FA10-477A-937C-905CFD05587E}</author>
    <author>tc={B27AC9EB-6516-4174-A9A6-E4E214C18AF3}</author>
    <author>tc={4C2B57F6-ABDF-4AD6-ACD1-B89565F2D564}</author>
    <author>tc={BF62819E-D052-4FB1-B529-5747FD459E4E}</author>
    <author>tc={6AA45936-140A-49A6-BF48-721F6A7C69F6}</author>
    <author>tc={5FA8DA7F-2A1C-4242-A2FD-E19DB6DC6A01}</author>
    <author>tc={2DBFFD02-D25B-4B85-9435-8687A8C9CDA5}</author>
    <author>tc={37AB9075-4817-43B2-BCA5-5EE1481DC57F}</author>
    <author>tc={D2DEFD70-6076-4CE2-B7DC-4B8A11140DF1}</author>
    <author>tc={9C6E9A38-80D6-469C-B101-8F8DB738B77A}</author>
    <author>tc={5B4F4B42-CAAA-42C8-A93F-3A0E9DBC24A0}</author>
    <author>tc={96D39F28-437F-48F8-B377-50DC5A540D53}</author>
    <author>tc={23C5DB8E-1DE0-43A1-A624-4B135E1CD2D6}</author>
    <author>tc={795BFFD5-4163-4656-997F-1A4477A4142F}</author>
    <author>tc={22C8E35A-0E9F-456A-9960-92D61C511C11}</author>
    <author>tc={200B9BE1-FF3B-4B8C-A7AD-6F367033D5FA}</author>
    <author>tc={D97049A5-842F-4D1D-B85E-6EA042E828C6}</author>
    <author>tc={03544B5A-64AF-43EA-8479-EFDACD0C8BE1}</author>
    <author>tc={8DB73210-8AE6-4B70-AAD1-5AF1AF8FFAF4}</author>
    <author>tc={64D72556-E41D-444E-AAFA-08C9C5ED53D1}</author>
    <author>tc={331B2D9A-E7BC-44FD-BDC4-990935A34767}</author>
  </authors>
  <commentList>
    <comment ref="AP118" authorId="0" shapeId="0" xr:uid="{B3B44DE9-E7CD-4B8C-BFCE-33CF43B470FB}">
      <text>
        <t>[Threaded comment]
Your version of Excel allows you to read this threaded comment; however, any edits to it will get removed if the file is opened in a newer version of Excel. Learn more: https://go.microsoft.com/fwlink/?linkid=870924
Comment:
    Avg FTE</t>
      </text>
    </comment>
    <comment ref="AP130" authorId="1" shapeId="0" xr:uid="{AF8357F3-B921-41C4-AD81-1CEA1842C723}">
      <text>
        <t>[Threaded comment]
Your version of Excel allows you to read this threaded comment; however, any edits to it will get removed if the file is opened in a newer version of Excel. Learn more: https://go.microsoft.com/fwlink/?linkid=870924
Comment:
    AverageFTE</t>
      </text>
    </comment>
    <comment ref="AP132" authorId="2" shapeId="0" xr:uid="{7854289D-15B7-42B0-9CC3-CF733177F628}">
      <text>
        <t>[Threaded comment]
Your version of Excel allows you to read this threaded comment; however, any edits to it will get removed if the file is opened in a newer version of Excel. Learn more: https://go.microsoft.com/fwlink/?linkid=870924
Comment:
    Convert to USD</t>
      </text>
    </comment>
    <comment ref="AB134" authorId="3" shapeId="0" xr:uid="{0907D01F-0332-4B5C-99F6-A008F27CFA41}">
      <text>
        <t>[Threaded comment]
Your version of Excel allows you to read this threaded comment; however, any edits to it will get removed if the file is opened in a newer version of Excel. Learn more: https://go.microsoft.com/fwlink/?linkid=870924
Comment:
    Include Advertising</t>
      </text>
    </comment>
    <comment ref="AP137" authorId="4" shapeId="0" xr:uid="{96FF4FFD-43E3-4F5C-91ED-1317D4DF5DFB}">
      <text>
        <t>[Threaded comment]
Your version of Excel allows you to read this threaded comment; however, any edits to it will get removed if the file is opened in a newer version of Excel. Learn more: https://go.microsoft.com/fwlink/?linkid=870924
Comment:
    Average Number</t>
      </text>
    </comment>
    <comment ref="AP140" authorId="5" shapeId="0" xr:uid="{59CEED51-2636-45F9-9D83-0F0A84998B5E}">
      <text>
        <t>[Threaded comment]
Your version of Excel allows you to read this threaded comment; however, any edits to it will get removed if the file is opened in a newer version of Excel. Learn more: https://go.microsoft.com/fwlink/?linkid=870924
Comment:
    Average Number</t>
      </text>
    </comment>
    <comment ref="AP143" authorId="6" shapeId="0" xr:uid="{116B8077-6157-43E4-8A56-17482A995B27}">
      <text>
        <t>[Threaded comment]
Your version of Excel allows you to read this threaded comment; however, any edits to it will get removed if the file is opened in a newer version of Excel. Learn more: https://go.microsoft.com/fwlink/?linkid=870924
Comment:
    Average Number</t>
      </text>
    </comment>
    <comment ref="AP147" authorId="7" shapeId="0" xr:uid="{1DB89E38-FA10-477A-937C-905CFD05587E}">
      <text>
        <t>[Threaded comment]
Your version of Excel allows you to read this threaded comment; however, any edits to it will get removed if the file is opened in a newer version of Excel. Learn more: https://go.microsoft.com/fwlink/?linkid=870924
Comment:
    Monthly Average</t>
      </text>
    </comment>
    <comment ref="AP148" authorId="8" shapeId="0" xr:uid="{B27AC9EB-6516-4174-A9A6-E4E214C18AF3}">
      <text>
        <t>[Threaded comment]
Your version of Excel allows you to read this threaded comment; however, any edits to it will get removed if the file is opened in a newer version of Excel. Learn more: https://go.microsoft.com/fwlink/?linkid=870924
Comment:
    Average Monthly</t>
      </text>
    </comment>
    <comment ref="AP157" authorId="9" shapeId="0" xr:uid="{4C2B57F6-ABDF-4AD6-ACD1-B89565F2D564}">
      <text>
        <t>[Threaded comment]
Your version of Excel allows you to read this threaded comment; however, any edits to it will get removed if the file is opened in a newer version of Excel. Learn more: https://go.microsoft.com/fwlink/?linkid=870924
Comment:
    Full-Time FTE</t>
      </text>
    </comment>
    <comment ref="AP162" authorId="10" shapeId="0" xr:uid="{BF62819E-D052-4FB1-B529-5747FD459E4E}">
      <text>
        <t>[Threaded comment]
Your version of Excel allows you to read this threaded comment; however, any edits to it will get removed if the file is opened in a newer version of Excel. Learn more: https://go.microsoft.com/fwlink/?linkid=870924
Comment:
    Average FTE</t>
      </text>
    </comment>
    <comment ref="AP165" authorId="11" shapeId="0" xr:uid="{6AA45936-140A-49A6-BF48-721F6A7C69F6}">
      <text>
        <t>[Threaded comment]
Your version of Excel allows you to read this threaded comment; however, any edits to it will get removed if the file is opened in a newer version of Excel. Learn more: https://go.microsoft.com/fwlink/?linkid=870924
Comment:
    Average</t>
      </text>
    </comment>
    <comment ref="AP166" authorId="12" shapeId="0" xr:uid="{5FA8DA7F-2A1C-4242-A2FD-E19DB6DC6A01}">
      <text>
        <t>[Threaded comment]
Your version of Excel allows you to read this threaded comment; however, any edits to it will get removed if the file is opened in a newer version of Excel. Learn more: https://go.microsoft.com/fwlink/?linkid=870924
Comment:
    Average Full-Time</t>
      </text>
    </comment>
    <comment ref="AF180" authorId="13" shapeId="0" xr:uid="{2DBFFD02-D25B-4B85-9435-8687A8C9CDA5}">
      <text>
        <t>[Threaded comment]
Your version of Excel allows you to read this threaded comment; however, any edits to it will get removed if the file is opened in a newer version of Excel. Learn more: https://go.microsoft.com/fwlink/?linkid=870924
Comment:
    Average Number</t>
      </text>
    </comment>
    <comment ref="AF194" authorId="14" shapeId="0" xr:uid="{37AB9075-4817-43B2-BCA5-5EE1481DC57F}">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195" authorId="15" shapeId="0" xr:uid="{D2DEFD70-6076-4CE2-B7DC-4B8A11140DF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03" authorId="16" shapeId="0" xr:uid="{9C6E9A38-80D6-469C-B101-8F8DB738B77A}">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04" authorId="17" shapeId="0" xr:uid="{5B4F4B42-CAAA-42C8-A93F-3A0E9DBC24A0}">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 ref="AF238" authorId="18" shapeId="0" xr:uid="{96D39F28-437F-48F8-B377-50DC5A540D53}">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0" authorId="19" shapeId="0" xr:uid="{23C5DB8E-1DE0-43A1-A624-4B135E1CD2D6}">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2" authorId="20" shapeId="0" xr:uid="{795BFFD5-4163-4656-997F-1A4477A4142F}">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6" authorId="21" shapeId="0" xr:uid="{22C8E35A-0E9F-456A-9960-92D61C511C1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9" authorId="22" shapeId="0" xr:uid="{200B9BE1-FF3B-4B8C-A7AD-6F367033D5FA}">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3" authorId="23" shapeId="0" xr:uid="{D97049A5-842F-4D1D-B85E-6EA042E828C6}">
      <text>
        <t>[Threaded comment]
Your version of Excel allows you to read this threaded comment; however, any edits to it will get removed if the file is opened in a newer version of Excel. Learn more: https://go.microsoft.com/fwlink/?linkid=870924
Comment:
    Includes Ground transportation</t>
      </text>
    </comment>
    <comment ref="AF256" authorId="24" shapeId="0" xr:uid="{03544B5A-64AF-43EA-8479-EFDACD0C8BE1}">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7" authorId="25" shapeId="0" xr:uid="{8DB73210-8AE6-4B70-AAD1-5AF1AF8FFAF4}">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59" authorId="26" shapeId="0" xr:uid="{64D72556-E41D-444E-AAFA-08C9C5ED53D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60" authorId="27" shapeId="0" xr:uid="{331B2D9A-E7BC-44FD-BDC4-990935A34767}">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tc={75474E07-9D7D-4B54-9155-E0FB8880CF70}</author>
    <author>tc={A2AE0284-B392-4E05-A01E-0E3ECE3A63FD}</author>
  </authors>
  <commentList>
    <comment ref="G73" authorId="0" shapeId="0" xr:uid="{75474E07-9D7D-4B54-9155-E0FB8880CF70}">
      <text>
        <t>[Threaded comment]
Your version of Excel allows you to read this threaded comment; however, any edits to it will get removed if the file is opened in a newer version of Excel. Learn more: https://go.microsoft.com/fwlink/?linkid=870924
Comment:
    Estimated</t>
      </text>
    </comment>
    <comment ref="S132" authorId="1" shapeId="0" xr:uid="{A2AE0284-B392-4E05-A01E-0E3ECE3A63FD}">
      <text>
        <t>[Threaded comment]
Your version of Excel allows you to read this threaded comment; however, any edits to it will get removed if the file is opened in a newer version of Excel. Learn more: https://go.microsoft.com/fwlink/?linkid=870924
Comment:
    Include Advertising</t>
      </text>
    </comment>
  </commentList>
</comments>
</file>

<file path=xl/sharedStrings.xml><?xml version="1.0" encoding="utf-8"?>
<sst xmlns="http://schemas.openxmlformats.org/spreadsheetml/2006/main" count="6182" uniqueCount="1028">
  <si>
    <t xml:space="preserve"> </t>
  </si>
  <si>
    <t>EBITDA</t>
  </si>
  <si>
    <t>Debts</t>
  </si>
  <si>
    <t>Equity</t>
  </si>
  <si>
    <t>Capital Expenditure</t>
  </si>
  <si>
    <t>Cash</t>
  </si>
  <si>
    <t xml:space="preserve">  </t>
  </si>
  <si>
    <t>Airport Operator</t>
  </si>
  <si>
    <t>Region</t>
  </si>
  <si>
    <t>Year</t>
  </si>
  <si>
    <t>Currency</t>
  </si>
  <si>
    <t>Total Pax Traffic</t>
  </si>
  <si>
    <t>Country</t>
  </si>
  <si>
    <t>Year of Reporting</t>
  </si>
  <si>
    <t>Currency Code</t>
  </si>
  <si>
    <t>Exchange Rate to USD</t>
  </si>
  <si>
    <t>Pax Traffic</t>
  </si>
  <si>
    <t>Intl Pax</t>
  </si>
  <si>
    <t>Aircraft Movements</t>
  </si>
  <si>
    <t>Operating Revenue (Local Currency)</t>
  </si>
  <si>
    <t>Operating Revenue (USD)</t>
  </si>
  <si>
    <t>Aero Revenue (Local Currency)</t>
  </si>
  <si>
    <t>Aero Revenue (USD)</t>
  </si>
  <si>
    <t>Pax Service Fees (Local Currency)</t>
  </si>
  <si>
    <t>Pax Service Fees (USD)</t>
  </si>
  <si>
    <t>Landing &amp; Parking Charges (Local Currency)</t>
  </si>
  <si>
    <t>Landing &amp; Parking Charges (USD)</t>
  </si>
  <si>
    <t>Non-Aero Revenue (Local Currency)</t>
  </si>
  <si>
    <t>Non-Aero Revenue (USD)</t>
  </si>
  <si>
    <t>Concessions</t>
  </si>
  <si>
    <t>Duty Free</t>
  </si>
  <si>
    <t>Duty Free (US$)</t>
  </si>
  <si>
    <t>Retail</t>
  </si>
  <si>
    <t>Retail (Incl. DF) (Local Currency)</t>
  </si>
  <si>
    <t>Retail (Incl. DF) (USD)</t>
  </si>
  <si>
    <t>F&amp;B (Local Currency)</t>
  </si>
  <si>
    <t>F&amp;B(USD)</t>
  </si>
  <si>
    <t>DF, Retail and F&amp;B</t>
  </si>
  <si>
    <t>DF, Retail and F&amp;B (USD)</t>
  </si>
  <si>
    <t>Advertising</t>
  </si>
  <si>
    <t>Advertising (USD)</t>
  </si>
  <si>
    <t>Car Parking</t>
  </si>
  <si>
    <t>Car Parking  (USD)</t>
  </si>
  <si>
    <t xml:space="preserve">Operating Expenses (incl. depreciation, amortization). </t>
  </si>
  <si>
    <t>Utilities Expenses (Local Currency)</t>
  </si>
  <si>
    <t>Utilities Expenses (USD)</t>
  </si>
  <si>
    <t>Repairs &amp; Maintenance Expenses (Local Currency)</t>
  </si>
  <si>
    <t>Repairs &amp; Maintenance Expenses (USD)</t>
  </si>
  <si>
    <t>Staff Costs</t>
  </si>
  <si>
    <t>Staff Costs (USD)</t>
  </si>
  <si>
    <t>Number of Staff</t>
  </si>
  <si>
    <t>Operating EBITDA (USD)</t>
  </si>
  <si>
    <t>Depreciation &amp; Amortization  (Local Currency)</t>
  </si>
  <si>
    <t xml:space="preserve">Operating Profit </t>
  </si>
  <si>
    <t>Operating Profit (Include  Depreciation and Amortization) in USD</t>
  </si>
  <si>
    <t>Net Profit (Local Currency)</t>
  </si>
  <si>
    <t>Net Profit (USD)</t>
  </si>
  <si>
    <t>Total Assets (Local Currency)</t>
  </si>
  <si>
    <t>Total Assets (US Dollar)</t>
  </si>
  <si>
    <t>Africa</t>
  </si>
  <si>
    <t>Ghana</t>
  </si>
  <si>
    <t>Ghana Airports Company</t>
  </si>
  <si>
    <t>Year Ending 2016</t>
  </si>
  <si>
    <t>GHS</t>
  </si>
  <si>
    <t>Guinea</t>
  </si>
  <si>
    <t>SOGEAC (Conakry Airport)</t>
  </si>
  <si>
    <t>Year Ending Dec 2016</t>
  </si>
  <si>
    <t>GNF</t>
  </si>
  <si>
    <t>-</t>
  </si>
  <si>
    <t xml:space="preserve">Kenya </t>
  </si>
  <si>
    <t>Kenya Airports Company</t>
  </si>
  <si>
    <t>Year Ending June 2016</t>
  </si>
  <si>
    <t>KES</t>
  </si>
  <si>
    <t>Kenya Airports Company (Jomo Kenyatta International)</t>
  </si>
  <si>
    <t>Mozambique</t>
  </si>
  <si>
    <t>Aeroportos de Mocambique</t>
  </si>
  <si>
    <t>MZN</t>
  </si>
  <si>
    <t>Namibia</t>
  </si>
  <si>
    <t>Namibia Airports Company</t>
  </si>
  <si>
    <t>Year Ending March 2016</t>
  </si>
  <si>
    <t>NAD</t>
  </si>
  <si>
    <t>Nigeria</t>
  </si>
  <si>
    <t>Federal Airports Authority of Nigeria</t>
  </si>
  <si>
    <t>Year Ending Dec 2017</t>
  </si>
  <si>
    <t>NGN</t>
  </si>
  <si>
    <t>Seychelles</t>
  </si>
  <si>
    <t>Seychelles Civil Aviation Authority</t>
  </si>
  <si>
    <t>SCR</t>
  </si>
  <si>
    <t>Excluded non-operating expenses of financing costs and depreciation</t>
  </si>
  <si>
    <t>South Africa</t>
  </si>
  <si>
    <t>Airports Company South Africa</t>
  </si>
  <si>
    <t>Year Ending March 2017</t>
  </si>
  <si>
    <t>ZAR</t>
  </si>
  <si>
    <t>Gateway Airports Authority Limited</t>
  </si>
  <si>
    <t>Tanzania</t>
  </si>
  <si>
    <t>Tanzania Airports Authority</t>
  </si>
  <si>
    <t>Year Ending June 2017</t>
  </si>
  <si>
    <t>TZS</t>
  </si>
  <si>
    <t>Zambia</t>
  </si>
  <si>
    <t>Zambia Airports Corporation Ltd</t>
  </si>
  <si>
    <t xml:space="preserve"> Year Ending Dec 2016</t>
  </si>
  <si>
    <t>ZMW</t>
  </si>
  <si>
    <t>Excl. depreciation and finance costs in total expenses</t>
  </si>
  <si>
    <t>North Africa</t>
  </si>
  <si>
    <t>Morroco</t>
  </si>
  <si>
    <t>ONDA</t>
  </si>
  <si>
    <t>MAD</t>
  </si>
  <si>
    <t>Double check figures</t>
  </si>
  <si>
    <t>Tunisia</t>
  </si>
  <si>
    <t>TAV Tunisie</t>
  </si>
  <si>
    <t>EUR</t>
  </si>
  <si>
    <t>Egypt</t>
  </si>
  <si>
    <t>Cairo Airport Company</t>
  </si>
  <si>
    <t>Year Ending Dec 2015</t>
  </si>
  <si>
    <t>EGP</t>
  </si>
  <si>
    <t>Middle East</t>
  </si>
  <si>
    <t>Bahrain</t>
  </si>
  <si>
    <t>Bahrain Airport Company</t>
  </si>
  <si>
    <t>BHD</t>
  </si>
  <si>
    <t>Israel</t>
  </si>
  <si>
    <t>Israel Airports  Authority</t>
  </si>
  <si>
    <t>NIS</t>
  </si>
  <si>
    <t>Jordan</t>
  </si>
  <si>
    <t>Airport International Group</t>
  </si>
  <si>
    <t>Yemen</t>
  </si>
  <si>
    <t>Govvernment of Yemen (Sayoun Airport)</t>
  </si>
  <si>
    <t>YER</t>
  </si>
  <si>
    <t>Saudi Arabia</t>
  </si>
  <si>
    <t>Tibah Consortium (Madinah Airport)</t>
  </si>
  <si>
    <t>GACA (Riyadh Airport)</t>
  </si>
  <si>
    <t>SAR</t>
  </si>
  <si>
    <t>GACA (Jeddah Airport)</t>
  </si>
  <si>
    <t>South Asia</t>
  </si>
  <si>
    <t>India</t>
  </si>
  <si>
    <t>Mumbai International Airport Pvt Ltd</t>
  </si>
  <si>
    <t>Year Ending March 2018</t>
  </si>
  <si>
    <t>INR</t>
  </si>
  <si>
    <t>Cochin International Airport Limited</t>
  </si>
  <si>
    <t>Year  Ending March 2018</t>
  </si>
  <si>
    <t>Non-aero rev include DF sales</t>
  </si>
  <si>
    <t>GMR Hyderabad International Airport Limited</t>
  </si>
  <si>
    <t>Airports Authority of India</t>
  </si>
  <si>
    <t>Chandigarh International Airport Limited</t>
  </si>
  <si>
    <t>Delhi International Airport Limited</t>
  </si>
  <si>
    <t>Opex include concession fee payment to AAI; Excl depreciation and finance costs</t>
  </si>
  <si>
    <t>Bangalore International  Airport Limited</t>
  </si>
  <si>
    <t>Nepal</t>
  </si>
  <si>
    <t>Civil Aviation Authority of Nepal (Tribhuvan International Airport)</t>
  </si>
  <si>
    <t>Year Ending July 2017</t>
  </si>
  <si>
    <t>NPR</t>
  </si>
  <si>
    <t>Sri Lanka</t>
  </si>
  <si>
    <t>Airport and Aviation Services (Sri Lanka) Ltd</t>
  </si>
  <si>
    <t>LKR</t>
  </si>
  <si>
    <t>Southeast Asia</t>
  </si>
  <si>
    <t>Indonesia</t>
  </si>
  <si>
    <t>Angkasa Pura 1</t>
  </si>
  <si>
    <t>IDR</t>
  </si>
  <si>
    <t>Angkasa Pura 2</t>
  </si>
  <si>
    <t>Batam Free Trade Zone Authority (BP Batam)</t>
  </si>
  <si>
    <t>Thailand</t>
  </si>
  <si>
    <t>Airports of Thailand</t>
  </si>
  <si>
    <t>THB</t>
  </si>
  <si>
    <t>Year Ending Sept 2016</t>
  </si>
  <si>
    <t>Bangkok Airways (Samui, Sukothai and Trat Airports)</t>
  </si>
  <si>
    <t>Cambodia</t>
  </si>
  <si>
    <t>Cambodia Airports (Vinci Subsidiary)</t>
  </si>
  <si>
    <t>Philippines</t>
  </si>
  <si>
    <t>GMR Megawide Cebu Airport Corporation</t>
  </si>
  <si>
    <t>PHP</t>
  </si>
  <si>
    <t>Manila International Airport Authority</t>
  </si>
  <si>
    <t>Clark International Airport Corporation</t>
  </si>
  <si>
    <t>Malaysia</t>
  </si>
  <si>
    <t>Malaysia Airport Holdings Bhd (Malaysia Airport Operations)</t>
  </si>
  <si>
    <t>MYR</t>
  </si>
  <si>
    <t>Malaysia Airport Holdings Bhd (KLIA &amp; KLIA2)</t>
  </si>
  <si>
    <t>Senai Airport Terminal Services Sdn Bhd</t>
  </si>
  <si>
    <t xml:space="preserve">Vietnam </t>
  </si>
  <si>
    <t>Airports Corporation of Vietnam</t>
  </si>
  <si>
    <t>VND</t>
  </si>
  <si>
    <t>Singapore</t>
  </si>
  <si>
    <t>Singapore Changi Airport</t>
  </si>
  <si>
    <t>SGD</t>
  </si>
  <si>
    <t>Northeast Asia</t>
  </si>
  <si>
    <t>China</t>
  </si>
  <si>
    <t>Yunnan Airport Group Co. Ltd</t>
  </si>
  <si>
    <t>CNY</t>
  </si>
  <si>
    <t>Xiamen International Airport Co. Ltd</t>
  </si>
  <si>
    <t>Shanghai International Airport Co., Ltd.</t>
  </si>
  <si>
    <t>Nanjing Lukou International Airport Co. Ltd</t>
  </si>
  <si>
    <t>Zhejiang Airports Group Company (Hangzhou Airport)</t>
  </si>
  <si>
    <t>Guangzhou Baiyun International Airport Company Limited</t>
  </si>
  <si>
    <t>Guangxi Airports Company</t>
  </si>
  <si>
    <t>Chengdu Shuangliu International Airport Co. Ltd</t>
  </si>
  <si>
    <t>Beijing Capital International Airport Co. Ltd</t>
  </si>
  <si>
    <t>Xinjiang Airport Group Co, Ltd</t>
  </si>
  <si>
    <t>Fraport (Xi'an Xianyang Airport)</t>
  </si>
  <si>
    <t>Chongqing Airport Group</t>
  </si>
  <si>
    <t xml:space="preserve">Hong Kong </t>
  </si>
  <si>
    <t>Hong Kong Airport Authority</t>
  </si>
  <si>
    <t>Year Ending June 2018</t>
  </si>
  <si>
    <t>HKD</t>
  </si>
  <si>
    <t>Macau</t>
  </si>
  <si>
    <t>Sociedade do Aeroporto Internacional de Macau S.A.R.L</t>
  </si>
  <si>
    <t>MOP</t>
  </si>
  <si>
    <t>Taiwan</t>
  </si>
  <si>
    <t>Taoyuan International Airport Corporation</t>
  </si>
  <si>
    <t>NTD</t>
  </si>
  <si>
    <t>Civil Aeronautics Association (Kaohsiung International Airport)</t>
  </si>
  <si>
    <t>Civil Aeronautics Association (Taipei Songshan Airport)</t>
  </si>
  <si>
    <t>Japan</t>
  </si>
  <si>
    <t>Central Japan International Airport Co.,Ltd.</t>
  </si>
  <si>
    <t>JPY</t>
  </si>
  <si>
    <t>Fukuoka Airport Building Co.</t>
  </si>
  <si>
    <t>Income for retail and f&amp;b are from directly-owned businesses only</t>
  </si>
  <si>
    <t>Hiroshima Airport Building Co., Ltd</t>
  </si>
  <si>
    <t>Narita Airport Authority</t>
  </si>
  <si>
    <t>Kansai Airports</t>
  </si>
  <si>
    <t>Nagasaki Airport Building Co. Ltd</t>
  </si>
  <si>
    <t>Matsuyama Airport</t>
  </si>
  <si>
    <t>South Korea</t>
  </si>
  <si>
    <t>Korean Airports Corporation</t>
  </si>
  <si>
    <t>KRW</t>
  </si>
  <si>
    <t>Incheon International Airports Corporation</t>
  </si>
  <si>
    <t>Russia &amp; CIS</t>
  </si>
  <si>
    <t>Russia</t>
  </si>
  <si>
    <t>DME Ltd (Domodedovo Airport)</t>
  </si>
  <si>
    <t>RUB</t>
  </si>
  <si>
    <t>Sheremetyevo Holding</t>
  </si>
  <si>
    <t>Vladivostok International Airport JSC</t>
  </si>
  <si>
    <t>Basel Aero (Sochi International Airport)</t>
  </si>
  <si>
    <t>Basel Aero (Krasnodar International Airport)</t>
  </si>
  <si>
    <t xml:space="preserve"> RUB</t>
  </si>
  <si>
    <t>Basel Aero ( Anapa International Airport)</t>
  </si>
  <si>
    <t>Vnukovo International Airport JSC</t>
  </si>
  <si>
    <t>Kazakhstan</t>
  </si>
  <si>
    <t>Almaty Airport JSC</t>
  </si>
  <si>
    <t>KZT</t>
  </si>
  <si>
    <t>Kyrgyzstan</t>
  </si>
  <si>
    <t>Manas International  Airport OJSC</t>
  </si>
  <si>
    <t>SOM</t>
  </si>
  <si>
    <t>Tajikistan</t>
  </si>
  <si>
    <t>JSC International Airport Dushanbe</t>
  </si>
  <si>
    <t>6 months Ending June 2018</t>
  </si>
  <si>
    <t>TJS</t>
  </si>
  <si>
    <t>Ukraine</t>
  </si>
  <si>
    <t>Boryspil International Airport</t>
  </si>
  <si>
    <t>UAH</t>
  </si>
  <si>
    <t>Georgia</t>
  </si>
  <si>
    <t>TAV Urban Georgia LLC (Tbilisi &amp; Batumi Airports)</t>
  </si>
  <si>
    <t>Armenia</t>
  </si>
  <si>
    <t>Corporacion America (Yerevan International Airport)</t>
  </si>
  <si>
    <t>USD</t>
  </si>
  <si>
    <t>Southern Europe</t>
  </si>
  <si>
    <t>Croatia</t>
  </si>
  <si>
    <t>Dubrovnik Airport</t>
  </si>
  <si>
    <t>HRK</t>
  </si>
  <si>
    <t>Bulgaria</t>
  </si>
  <si>
    <t>Fraport (Varna and Bourgas Airports)</t>
  </si>
  <si>
    <t>Sofia Airport EAD</t>
  </si>
  <si>
    <t>BGN</t>
  </si>
  <si>
    <t>Romania</t>
  </si>
  <si>
    <t>Bucharest Airports Company</t>
  </si>
  <si>
    <t>Slovenia</t>
  </si>
  <si>
    <t>Fraport Slovenjia</t>
  </si>
  <si>
    <t>Greece</t>
  </si>
  <si>
    <t>Fraport "Group B" (Greek Airports)</t>
  </si>
  <si>
    <t>Aero revenues include airport development fee. Non-Aero revenues includes revenue from construction services.</t>
  </si>
  <si>
    <t>Fraport ( "Group A" Airports)</t>
  </si>
  <si>
    <t>Athens International Airport S.A</t>
  </si>
  <si>
    <t>Airport Development Fee included in operating revenues</t>
  </si>
  <si>
    <t>Serbia</t>
  </si>
  <si>
    <t>Belgrade Airport</t>
  </si>
  <si>
    <t>Macedonia</t>
  </si>
  <si>
    <t>TAV Macedonia (Skopje and Ohrid  Airports)</t>
  </si>
  <si>
    <t>Turkey</t>
  </si>
  <si>
    <t>TAV Airports (Istanbul Ataturk)</t>
  </si>
  <si>
    <t>TAV Airports (Ankara Airport)</t>
  </si>
  <si>
    <t>TAV Airports (Izmir Airport)</t>
  </si>
  <si>
    <t>TAV Airports (Gazipasa Airport)</t>
  </si>
  <si>
    <t>TAV Airports (Bodrum Airport)</t>
  </si>
  <si>
    <t>Malaysia Airport Holdings Bhd (Sabiha Gocken International Airport)</t>
  </si>
  <si>
    <t>Central and Eastern Europe</t>
  </si>
  <si>
    <t>Czech Republic</t>
  </si>
  <si>
    <t>Letiště Praha, Ltd.</t>
  </si>
  <si>
    <t>CZK</t>
  </si>
  <si>
    <t>Hungary</t>
  </si>
  <si>
    <t>Budapest Airport Ltd</t>
  </si>
  <si>
    <t>Austria</t>
  </si>
  <si>
    <t>Flughafen Wien Group</t>
  </si>
  <si>
    <t xml:space="preserve"> EUR</t>
  </si>
  <si>
    <t>To separate Flughafen Wien and VIE data</t>
  </si>
  <si>
    <t>Flughafen Wien Group (Vienna Airport)</t>
  </si>
  <si>
    <t>Flughafen Innsbruck</t>
  </si>
  <si>
    <t>Flughafen Graz</t>
  </si>
  <si>
    <t>Germany</t>
  </si>
  <si>
    <t>Berlin Airports</t>
  </si>
  <si>
    <t>Flughafen Köln/Bonn</t>
  </si>
  <si>
    <t>Flughafen Düsseldorf GmbH </t>
  </si>
  <si>
    <t>Slightly different from Annual Report. To double checkc</t>
  </si>
  <si>
    <t>Fraport AG (Frankfurt Airport)</t>
  </si>
  <si>
    <t>Flughafen Hamburg GmbH</t>
  </si>
  <si>
    <t>Flughafen Hannover-Langenhagen GmbH</t>
  </si>
  <si>
    <t>Flughafen Munchen GmbH</t>
  </si>
  <si>
    <t>Slovakia</t>
  </si>
  <si>
    <t>Letisko M. R. Štefánika - Airport Bratislava</t>
  </si>
  <si>
    <t xml:space="preserve">Poland </t>
  </si>
  <si>
    <t>Polish Airports State Enterprises</t>
  </si>
  <si>
    <t>7 months ending July 2017</t>
  </si>
  <si>
    <t>PLN</t>
  </si>
  <si>
    <t xml:space="preserve">Western Europe </t>
  </si>
  <si>
    <t>France</t>
  </si>
  <si>
    <t>Aeroport de Paris (Paris  Airports)</t>
  </si>
  <si>
    <t>Aéroport de Bordeaux Mérignac (SA ADBM)</t>
  </si>
  <si>
    <t>Aéroport de la Réunion Roland Garros</t>
  </si>
  <si>
    <t>Airport taxes included in aero revenues</t>
  </si>
  <si>
    <t>Marseille Provence Chamber of Commerce and Industry</t>
  </si>
  <si>
    <t>Chamber of Commerce and Industry of Toulouse</t>
  </si>
  <si>
    <t>Chambre de Commerce et d'Industrie (CCI) de l'Oise (Beauvais–Tillé Airport)</t>
  </si>
  <si>
    <t>Vinci (Lyon Saint-Exupéry Airport)</t>
  </si>
  <si>
    <t xml:space="preserve">Ireland </t>
  </si>
  <si>
    <t>DAA (Dublin and Cork Airports)</t>
  </si>
  <si>
    <t>Italy</t>
  </si>
  <si>
    <t>Aeroporti di Roma</t>
  </si>
  <si>
    <t>Aeroporti di Milan</t>
  </si>
  <si>
    <t>GE.S.A.C. S.p.A. (Aeroporti di Napoli)</t>
  </si>
  <si>
    <t>Aeroporti Toscana</t>
  </si>
  <si>
    <t>Grupo Save</t>
  </si>
  <si>
    <t>Aeroporti Bologna</t>
  </si>
  <si>
    <t>United Kingdom</t>
  </si>
  <si>
    <t>Aberdeen Airport Ltd</t>
  </si>
  <si>
    <t>GBP</t>
  </si>
  <si>
    <t>Birmingham Airport Ltd</t>
  </si>
  <si>
    <t>Bristol Airport Ltd</t>
  </si>
  <si>
    <t>Cardiff Airport Ltd</t>
  </si>
  <si>
    <t>Cornwall Airport Ltd</t>
  </si>
  <si>
    <t>To recheck and calculate government grant</t>
  </si>
  <si>
    <t>Edinburgh Airport Ltd</t>
  </si>
  <si>
    <t>Glasgow Prestwick</t>
  </si>
  <si>
    <t>Heavy Reliance on Cargo Traffic</t>
  </si>
  <si>
    <t>Guernsey Airport</t>
  </si>
  <si>
    <t>Highland and Islands Airports Limited</t>
  </si>
  <si>
    <t>Peel (Liverpool Airport)</t>
  </si>
  <si>
    <t>London City Airport</t>
  </si>
  <si>
    <t>Gatwick  Airport Limited</t>
  </si>
  <si>
    <t>London Luton Airport Operations Ltd</t>
  </si>
  <si>
    <t>Manchester Airport Group (Manchester Airport)</t>
  </si>
  <si>
    <t>Manchester Airport Group (London Stansted Airport)</t>
  </si>
  <si>
    <t>Manchester Airport Group (East Midlands Airport)</t>
  </si>
  <si>
    <t>Stobart Group (London Southend Airport)</t>
  </si>
  <si>
    <t>Rigby Group (Regional and  City Airports Division)</t>
  </si>
  <si>
    <t>Switzerland</t>
  </si>
  <si>
    <t> Aéroport de Genève</t>
  </si>
  <si>
    <t>CHF</t>
  </si>
  <si>
    <t>Flughafen Zürich AG </t>
  </si>
  <si>
    <t xml:space="preserve">France/Switzerland </t>
  </si>
  <si>
    <t>L'administration de l’Aéroport de Bâle-Mulhouse</t>
  </si>
  <si>
    <t>Spain</t>
  </si>
  <si>
    <t>AENA (Spanish Airports)</t>
  </si>
  <si>
    <t>Portugal</t>
  </si>
  <si>
    <t>Luxembourg</t>
  </si>
  <si>
    <t>Société de l’aéroport de Luxembourg S.A. lux-Airport</t>
  </si>
  <si>
    <t>Netherlands</t>
  </si>
  <si>
    <t>Schiphol Group</t>
  </si>
  <si>
    <t>Belgium</t>
  </si>
  <si>
    <t>Brussels Airport Company NV</t>
  </si>
  <si>
    <t xml:space="preserve">Malta </t>
  </si>
  <si>
    <t>Malta International Airport plc</t>
  </si>
  <si>
    <t>Nordic and Baltic Europe</t>
  </si>
  <si>
    <t>Denmark</t>
  </si>
  <si>
    <t>Copenhagen Airport A/S</t>
  </si>
  <si>
    <t>DKK</t>
  </si>
  <si>
    <t>Iceland</t>
  </si>
  <si>
    <t>Isavia</t>
  </si>
  <si>
    <t>ISK</t>
  </si>
  <si>
    <t>Finland</t>
  </si>
  <si>
    <t>Norway</t>
  </si>
  <si>
    <t>Avinor</t>
  </si>
  <si>
    <t>NOK</t>
  </si>
  <si>
    <t>Sweden</t>
  </si>
  <si>
    <t>Swedavia</t>
  </si>
  <si>
    <t>SEK</t>
  </si>
  <si>
    <t>Latvia</t>
  </si>
  <si>
    <t>SJSC Riga International Airport </t>
  </si>
  <si>
    <t>Lithuania</t>
  </si>
  <si>
    <t>Lithuanian Airports</t>
  </si>
  <si>
    <t>6 Months Ending June 2018</t>
  </si>
  <si>
    <t>Traffic statistics were estimated</t>
  </si>
  <si>
    <t xml:space="preserve">Estonia </t>
  </si>
  <si>
    <t>Tallinn Airport Ltd (Tallin and regional airports)</t>
  </si>
  <si>
    <t>Government grants included in operating income</t>
  </si>
  <si>
    <t>Oceania</t>
  </si>
  <si>
    <t>Australia</t>
  </si>
  <si>
    <t xml:space="preserve">Brisbane Airport Corporation Pty Limited </t>
  </si>
  <si>
    <t>AUD</t>
  </si>
  <si>
    <t>Adelaide Airport Limited</t>
  </si>
  <si>
    <t>Newcastle Airport Limited</t>
  </si>
  <si>
    <t>Perth Airport</t>
  </si>
  <si>
    <t xml:space="preserve">Australia </t>
  </si>
  <si>
    <t>Queensland Airports Limited</t>
  </si>
  <si>
    <t>Sydney Airport Limited</t>
  </si>
  <si>
    <t>Australia Pacific Airports Corporation Limited</t>
  </si>
  <si>
    <t>New Zealand</t>
  </si>
  <si>
    <t>Christchurch Airport Ltd</t>
  </si>
  <si>
    <t>NZD</t>
  </si>
  <si>
    <t>Wellington International Airport Ltd</t>
  </si>
  <si>
    <t>Waikato Regional Airport Limited Group (Hamilton Airport)</t>
  </si>
  <si>
    <t>Land Sales Revenues Included in Operating Revenues</t>
  </si>
  <si>
    <t xml:space="preserve">Auckland International Airport Limited </t>
  </si>
  <si>
    <t>Dunedin International Airport Limited</t>
  </si>
  <si>
    <t>Pacific Islands</t>
  </si>
  <si>
    <t>Fiji</t>
  </si>
  <si>
    <t>Airports Fiji Ltd</t>
  </si>
  <si>
    <t>FJD</t>
  </si>
  <si>
    <t>Tonga</t>
  </si>
  <si>
    <t>Tonga Airports Limited</t>
  </si>
  <si>
    <t>TOP</t>
  </si>
  <si>
    <t>Guam</t>
  </si>
  <si>
    <t>Guam International Airport Authority</t>
  </si>
  <si>
    <t>Year Ending Sept 2017</t>
  </si>
  <si>
    <t>Northern Mariana Islands</t>
  </si>
  <si>
    <t>Commonwealth Port Authority</t>
  </si>
  <si>
    <t>Samoa</t>
  </si>
  <si>
    <t>Samoa Airport Authority</t>
  </si>
  <si>
    <t>Tahiti</t>
  </si>
  <si>
    <t>Aeroport de Tahiti</t>
  </si>
  <si>
    <t>CFP</t>
  </si>
  <si>
    <t>Saipan</t>
  </si>
  <si>
    <t>Commonwealth Port Authority (Saipan Airport)</t>
  </si>
  <si>
    <t>American Samoa</t>
  </si>
  <si>
    <t>Department of Port Administration (Pago Pago International Airport)</t>
  </si>
  <si>
    <t>United States</t>
  </si>
  <si>
    <t>Department of Transportation (Honolulu International Airport)</t>
  </si>
  <si>
    <t>Department of Transportation (Kahului International Airport)</t>
  </si>
  <si>
    <t>Caribbean</t>
  </si>
  <si>
    <t xml:space="preserve">Bahamas </t>
  </si>
  <si>
    <t>Nassau Airport Development Company</t>
  </si>
  <si>
    <t>Dominican Republic</t>
  </si>
  <si>
    <t>Vinci (Dominican Republic Airports)</t>
  </si>
  <si>
    <t xml:space="preserve">Jamaica </t>
  </si>
  <si>
    <t>NMIA Airports Limited</t>
  </si>
  <si>
    <t>Grupo Aeroportuario Del Pacifico (Sangster Airport)</t>
  </si>
  <si>
    <t>US Virgin Islands</t>
  </si>
  <si>
    <t>Virgin Islands Port Authority (Cyril E King Airport)</t>
  </si>
  <si>
    <t>Puerto Rico</t>
  </si>
  <si>
    <t>Latin America</t>
  </si>
  <si>
    <t>El Salvador</t>
  </si>
  <si>
    <t>Comisión Ejecutiva Portuaria Autónoma (Mosenor Romero Airport)</t>
  </si>
  <si>
    <t>Panama</t>
  </si>
  <si>
    <t>Tocumen S.A.</t>
  </si>
  <si>
    <t>PAB</t>
  </si>
  <si>
    <t xml:space="preserve">Peru </t>
  </si>
  <si>
    <t>Corpac</t>
  </si>
  <si>
    <t>SOL</t>
  </si>
  <si>
    <t>Mexico</t>
  </si>
  <si>
    <t>Grupo Aeroportuario de la Ciudad de México</t>
  </si>
  <si>
    <t>MXN</t>
  </si>
  <si>
    <t>Grupo Aeroportuario del Sureste</t>
  </si>
  <si>
    <t xml:space="preserve">Total operating revenues includes revenues from construction as well as non-Mexico businesses. Total operating costs includes costs of construction. </t>
  </si>
  <si>
    <t>Grupo Aeroportuario Centro Norte</t>
  </si>
  <si>
    <t>Total operating revenues includes revenues from construction. Total operating costs includes costs of construction.</t>
  </si>
  <si>
    <t xml:space="preserve">Grupo Aeroportuario Del Pacifico </t>
  </si>
  <si>
    <t>Argentina</t>
  </si>
  <si>
    <t>Aeropuertos Argentina 2000 S.A</t>
  </si>
  <si>
    <t>ARS</t>
  </si>
  <si>
    <t>Brazil</t>
  </si>
  <si>
    <t>Aeroportos Brasil Viracopos S.A</t>
  </si>
  <si>
    <t>BRL</t>
  </si>
  <si>
    <t>Aeroporto Internacional de Guarulhos S.A.</t>
  </si>
  <si>
    <t>Aeroporto Rio de Janeiro S/A</t>
  </si>
  <si>
    <t>Aeroporto Internacional de Confins S.A.</t>
  </si>
  <si>
    <t>Infraero (Core Business)</t>
  </si>
  <si>
    <t>Chile</t>
  </si>
  <si>
    <t xml:space="preserve">NUEVO PUDAHUEL S.A. </t>
  </si>
  <si>
    <t>CLP</t>
  </si>
  <si>
    <t>Aeroportuario de Calama S.A</t>
  </si>
  <si>
    <t>Sociedad Concesionaria Aeropuerto de Magallenes Regional de Atacama S.A</t>
  </si>
  <si>
    <t>Total operating revenues includes revenues from land-sales</t>
  </si>
  <si>
    <t xml:space="preserve">Sociedad Concesionaria Aeropuerto Araucanía S.A. </t>
  </si>
  <si>
    <t>Colombia</t>
  </si>
  <si>
    <t>Odinsa (El Dorado International Airport)</t>
  </si>
  <si>
    <t>COP</t>
  </si>
  <si>
    <t>Ecuador</t>
  </si>
  <si>
    <t>Odinsa (Quito International Airport)</t>
  </si>
  <si>
    <t>Guayaquil International Airport</t>
  </si>
  <si>
    <t>Guyana</t>
  </si>
  <si>
    <t>Cheddi Jagan International Airport (CJIA) Corporation</t>
  </si>
  <si>
    <t>GYD</t>
  </si>
  <si>
    <t>Uruguay</t>
  </si>
  <si>
    <t>Puerta Del Sur (Carrasco Aiport)</t>
  </si>
  <si>
    <t>North America</t>
  </si>
  <si>
    <t>Canada</t>
  </si>
  <si>
    <t>Aeroport de Montreal</t>
  </si>
  <si>
    <t>CAD</t>
  </si>
  <si>
    <t>Greater Toronto Airports Authority</t>
  </si>
  <si>
    <t>Vancouver Airport Authority</t>
  </si>
  <si>
    <t>Calgary Airport Authority</t>
  </si>
  <si>
    <t>Edmonton Airports</t>
  </si>
  <si>
    <t>Halifax International Airport Authority</t>
  </si>
  <si>
    <t>Ottawa Macdonald–Cartier International Airport Authority</t>
  </si>
  <si>
    <t xml:space="preserve">Winnipeg Airports Authority </t>
  </si>
  <si>
    <t>Massachusetts Port Authority (Boston Logan Airport)</t>
  </si>
  <si>
    <t>City &amp; County of Denver Department of Aviation</t>
  </si>
  <si>
    <t>Port Authority of New York and New Jersey (JFK International Airport)</t>
  </si>
  <si>
    <t>San Diego County Regional Airport Authority</t>
  </si>
  <si>
    <t>San Francisco International Airport</t>
  </si>
  <si>
    <t>Port of Seattle (Seattle Tacoma International Airport)</t>
  </si>
  <si>
    <t>DFW Airport Board</t>
  </si>
  <si>
    <t>Atlanta Department of Aviation (Atlanta Hartsfield-Jackson)</t>
  </si>
  <si>
    <t>Chicago Department of Aviation (Chicago O'Hare)</t>
  </si>
  <si>
    <t>Clark County Department of Aviation (McCarran International Airport)</t>
  </si>
  <si>
    <t>Miami-Dade Aviation Department (Miami International Airport)</t>
  </si>
  <si>
    <t>Newark Liberty International Airport</t>
  </si>
  <si>
    <t>Broward County Aviation Department (Fort Lauderdale)</t>
  </si>
  <si>
    <t>Dallas Department of Aviation (Dallas Love Field)</t>
  </si>
  <si>
    <t>Charlotte Aviation Department</t>
  </si>
  <si>
    <t>Port of Bellinghom (Bellingham International Airport)</t>
  </si>
  <si>
    <t>Hillsborough County Aviation Authority (Tampa  International Airport)</t>
  </si>
  <si>
    <t>Louisville Regional Airport Authority (LRAA)</t>
  </si>
  <si>
    <t xml:space="preserve">  `</t>
  </si>
  <si>
    <t>Total Operating Revenues (Local Currency)</t>
  </si>
  <si>
    <t>Total Non-Aeronautical Revenues (Local  Currency)</t>
  </si>
  <si>
    <t>Total operating costs (Local Currency)</t>
  </si>
  <si>
    <t>EBITDA (Local Currency)</t>
  </si>
  <si>
    <t>EBIT (Local Currency)</t>
  </si>
  <si>
    <t>Assets (US$)</t>
  </si>
  <si>
    <t>Assets (Local Currency)</t>
  </si>
  <si>
    <t xml:space="preserve">   </t>
  </si>
  <si>
    <t>Year Ending Dec 2018</t>
  </si>
  <si>
    <t>Year ending Dec 2018</t>
  </si>
  <si>
    <t>Year Ending March 2019</t>
  </si>
  <si>
    <t>TAV Airports (Antalya Airport)</t>
  </si>
  <si>
    <t>Fraport ( Pulkovo/Thalita)</t>
  </si>
  <si>
    <t xml:space="preserve"> Year Ending Dec 2018</t>
  </si>
  <si>
    <t>Year Ending  Dec 2018</t>
  </si>
  <si>
    <t>Year  Ending Dec 2018</t>
  </si>
  <si>
    <t xml:space="preserve">Manchester Airport Group </t>
  </si>
  <si>
    <t>Aeroportos de Portugal, S.A</t>
  </si>
  <si>
    <t>Schiphol Group (Amsterdam  Airport Schiphol)</t>
  </si>
  <si>
    <t>Airport Development Group (Darwin, Alice Springs, Tennant Creek)</t>
  </si>
  <si>
    <t>Average Total Assets (Local Currency)</t>
  </si>
  <si>
    <t>Current Liabilities (Local Currency)</t>
  </si>
  <si>
    <t>Net Cashflow from Operations (Local Currency)</t>
  </si>
  <si>
    <t>Finavia Group</t>
  </si>
  <si>
    <t>AENA (All)</t>
  </si>
  <si>
    <t>Heathrow Airport Holdings Ltd</t>
  </si>
  <si>
    <t>Half Year Ending June 2018</t>
  </si>
  <si>
    <t>Regal Group Company (Haikou Meilan International Airport)</t>
  </si>
  <si>
    <t>Shenzhen Airport Co.  Ltd</t>
  </si>
  <si>
    <t>7,610,927 338,6474</t>
  </si>
  <si>
    <t xml:space="preserve">	45,082,544</t>
  </si>
  <si>
    <t xml:space="preserve">     </t>
  </si>
  <si>
    <t xml:space="preserve">    </t>
  </si>
  <si>
    <t>Year Ending Sept 2018</t>
  </si>
  <si>
    <t xml:space="preserve">Department of Transportation, Airports Division,State of Hawaii </t>
  </si>
  <si>
    <t>Fraport (Lima Airport Partners)</t>
  </si>
  <si>
    <t>Victoria International  Airport</t>
  </si>
  <si>
    <t>St John's</t>
  </si>
  <si>
    <t>Los Angeles World Airports</t>
  </si>
  <si>
    <t xml:space="preserve">Houston Airport System </t>
  </si>
  <si>
    <t>Houston Airport System (George Bush Intercontinental  Airport)</t>
  </si>
  <si>
    <t>City of Phoenix (Phoenix Sky Harbour Airport)</t>
  </si>
  <si>
    <t>Minneapolis–Saint Paul Metropolitan Airports Commission</t>
  </si>
  <si>
    <t>Aerostar Airport Holdings LLC (Luis Munoz Marin International Airport)</t>
  </si>
  <si>
    <t>Average Exchange Rate to USD</t>
  </si>
  <si>
    <t>Depreciation &amp; Amortization</t>
  </si>
  <si>
    <t xml:space="preserve"> Year Ending Dec 2017</t>
  </si>
  <si>
    <t>Operating Profit/EBIT</t>
  </si>
  <si>
    <t>Brisbane Airport</t>
  </si>
  <si>
    <t>Department of Transportation (Airports Division)</t>
  </si>
  <si>
    <t>Los Angeles World Airports (Los Angeles International Airport)</t>
  </si>
  <si>
    <t>46,535,180 </t>
  </si>
  <si>
    <t xml:space="preserve">	16,797,006</t>
  </si>
  <si>
    <t>EBITDA Margin (%)</t>
  </si>
  <si>
    <t>Net Margin (%)</t>
  </si>
  <si>
    <t>Operating Cash Flow Ratio</t>
  </si>
  <si>
    <t>Groupe ADP (Paris  Airports)</t>
  </si>
  <si>
    <t>Description/Formula</t>
  </si>
  <si>
    <t>Geographical Region in which the airport operator is based.</t>
  </si>
  <si>
    <t xml:space="preserve">Country in which the airport operator carries out its main scope of activity. </t>
  </si>
  <si>
    <t>Operator</t>
  </si>
  <si>
    <t>Results input are for either a  full year or fixed period of airport operations.</t>
  </si>
  <si>
    <t>Exchange Rate</t>
  </si>
  <si>
    <t>Rate of currency exchange with USD as of the last day of the period of reporting. Currency exchange rate data is from XE.</t>
  </si>
  <si>
    <t xml:space="preserve">Passengers </t>
  </si>
  <si>
    <t>Total number of passengers (arriving and departing) .</t>
  </si>
  <si>
    <t>Total number of aircraft movements (landing and taking-off)</t>
  </si>
  <si>
    <t>Pax per aircraft</t>
  </si>
  <si>
    <t>Number of passengers/number of movements</t>
  </si>
  <si>
    <t>Operating Revenue/Number of Passengers</t>
  </si>
  <si>
    <t>Aero Revenue</t>
  </si>
  <si>
    <t>Aero Revenue/Number of Passengers</t>
  </si>
  <si>
    <t>Passenger Service Fee Revenue/Number of Passengers</t>
  </si>
  <si>
    <t>Rev from landing and parking fees</t>
  </si>
  <si>
    <t>Landing and Parking Fee Revenues/ Number of Aircraft Movements</t>
  </si>
  <si>
    <t>Non-Aero Revenue</t>
  </si>
  <si>
    <t xml:space="preserve">Revenue derived from non-aeronautical operations as reported. </t>
  </si>
  <si>
    <t>Revenue derived from duty-free operations and other retail operations not classified as duty-free (e.g specialty, news &amp; gifts, duty-paid)</t>
  </si>
  <si>
    <t>Retail and Duty-Free Revenues/Number of Passengers</t>
  </si>
  <si>
    <t>Revenue derived from F&amp;B operations at the airport, usually through rent/royalties paid by F&amp;B operators</t>
  </si>
  <si>
    <t>Revenue derived from duty-free, retail and F&amp;B operations.</t>
  </si>
  <si>
    <t>Revenue derived from airport advertising operations (including bill board, digital and static advertising)</t>
  </si>
  <si>
    <t>Advertising Revenues/Number of Passengers</t>
  </si>
  <si>
    <t>Car Parking Revenues/Number of Passengers</t>
  </si>
  <si>
    <t>Operating Expenses</t>
  </si>
  <si>
    <t>Maintenance Costs</t>
  </si>
  <si>
    <t>% of Maintenance Costs over Opex</t>
  </si>
  <si>
    <t>Maintenance Costs/ Operating Expenses</t>
  </si>
  <si>
    <t>Utilities Expenses</t>
  </si>
  <si>
    <t>Cost for utilities (energy, electricity, water) consumption</t>
  </si>
  <si>
    <t>% of Utilities Cost Over Opex</t>
  </si>
  <si>
    <t>Utilities Expenses/Operating Expenses</t>
  </si>
  <si>
    <t>Staff Expenses</t>
  </si>
  <si>
    <t>% of Staff Costs over Opex</t>
  </si>
  <si>
    <t>Staff Expenses/Operating Expenses</t>
  </si>
  <si>
    <t>Staff Expenses/Number of Passengers</t>
  </si>
  <si>
    <t>Number of Passengers/Number of Staff</t>
  </si>
  <si>
    <t>EBITDA/Number of Passengers</t>
  </si>
  <si>
    <t>EBITDA/Operating Revenue</t>
  </si>
  <si>
    <t>Operating Income</t>
  </si>
  <si>
    <t>Operating Income/Number of Passengers</t>
  </si>
  <si>
    <t>Operating Margin (%)</t>
  </si>
  <si>
    <t>Operating Income/Operating Revenue</t>
  </si>
  <si>
    <t>Net Profit</t>
  </si>
  <si>
    <t xml:space="preserve">Final profit after deducting interest,financing costs and taxes after operating expenses. </t>
  </si>
  <si>
    <t>Net profit/Number of Passengers</t>
  </si>
  <si>
    <t>Net Profit/Operating Revenue</t>
  </si>
  <si>
    <t>Total Assets</t>
  </si>
  <si>
    <t>Net Profit/Total Assets</t>
  </si>
  <si>
    <t>Entity operating the airport(s). In this study, it could refer to the specific department of the government authority running the airport, an independent or corporatized airport operator, an airport concession operator or a local subsidiary of a larger multi-country airport operator.</t>
  </si>
  <si>
    <t>Revenue derived from aeronautical operations as reported (mainly covers passenger service fees as well as landing and parking charges). In this study, airport building taxes and airport development fees will also be classified under aeronautical revenues.</t>
  </si>
  <si>
    <t>Revenue obtained from airport operations. Revenue from non-airport operations like construction is also included if costs for non-airport operations is not separable. Grants and incentives are not included in operating revenues.</t>
  </si>
  <si>
    <t>Revenue derived from duty-free operations, both through duty-free sales (from duty-free businesses directly operated by the airport and from rent/royalties paid by duty-free concessionaires). Duty and duty paid sales data from airports in European Union have been excluded in this study unless specifically available</t>
  </si>
  <si>
    <t>Costs for repair and maintenance.</t>
  </si>
  <si>
    <t>Staff expense included mainly salaries and other forms of benefits and compensation.</t>
  </si>
  <si>
    <t>Number of full-time staff during the year or at the end of the year. Where indicated, number  of staff also refers to the FTE (full-time equivalents).</t>
  </si>
  <si>
    <t>Depreciation &amp; Amortization Costs</t>
  </si>
  <si>
    <t>Costs for Depreciation &amp; Amortization</t>
  </si>
  <si>
    <t>Depreciation &amp; Amortization Costs/Operating Expenses</t>
  </si>
  <si>
    <t>Current Assets</t>
  </si>
  <si>
    <t>Total Liabilities</t>
  </si>
  <si>
    <t>Current Liabilities</t>
  </si>
  <si>
    <t>Total assets refers to the value of total assets owned by the airport operator</t>
  </si>
  <si>
    <t>Current assets refers to the value of current assets owned by the airport operator</t>
  </si>
  <si>
    <t>Total liabilities refers to the value of total liabilities of the airport operator</t>
  </si>
  <si>
    <t>Current liabilities refers to the value of current liabilities of the airport operator</t>
  </si>
  <si>
    <t>Net cash flow from operating activities is calculated as the sum of net income, adjustments for non-cash expenses and changes in working capital.</t>
  </si>
  <si>
    <t>Net Cash Flow from Operating Activities</t>
  </si>
  <si>
    <t>Operating Income + Depreciation &amp; Amortization</t>
  </si>
  <si>
    <t>Current Ratio</t>
  </si>
  <si>
    <t>Average Total Assets</t>
  </si>
  <si>
    <t>Total Assets at the end of period of reporting/Total Assets at the end of previous period of reporting</t>
  </si>
  <si>
    <t>Current Assets/Current Liabilities</t>
  </si>
  <si>
    <t>Cash Flow on Total  Assets Ratio</t>
  </si>
  <si>
    <t>Net Cash Flow from Operating Activities/Average Total Assets</t>
  </si>
  <si>
    <t>Operating Revenue</t>
  </si>
  <si>
    <t>Rev from Passenger Service Fees</t>
  </si>
  <si>
    <t>Net Cash Flow from Operations/ Current Liabilities</t>
  </si>
  <si>
    <t>Assumptions and Remarks</t>
  </si>
  <si>
    <t>Airport taxes (EUR 15 mil) included in aero revenues</t>
  </si>
  <si>
    <t xml:space="preserve">Waikato Regional Airport Limited Group </t>
  </si>
  <si>
    <t>Revenues from land sales (NZD 2.9 mil) excluded from operating revenues. Cost of land sales (NZD 1.3 mil) excluded from operating costs</t>
  </si>
  <si>
    <t>Revenues derived from car park operations. Where indicated, revenues for car parking at US airports include revenues from ground transport operations.</t>
  </si>
  <si>
    <t>Operating Revenue minus Operating Expenses (including depreciation and amortization)</t>
  </si>
  <si>
    <t>Depreciation &amp; amortization (GHS  34,791k) also includes exchange loss (GHS 11,567k) and loss in transfer of assets (GHS 3,703k).</t>
  </si>
  <si>
    <t xml:space="preserve">In this study, data on operating expenses has been normalized for better comparison. Depreciation &amp; amortization expenses are included as operating expenses while financing costs have been excluded. </t>
  </si>
  <si>
    <t>Link</t>
  </si>
  <si>
    <t>Ghana Airports Company Limited Annual Report for 2016</t>
  </si>
  <si>
    <t>"Guinée : le retour des compagnies aériennes", Financial Afrik, 12 janvier, 2017</t>
  </si>
  <si>
    <t>Republique de Guinee Rapport Financier des Entreprises en Portefeuille</t>
  </si>
  <si>
    <t>Kenya Airports Authority</t>
  </si>
  <si>
    <t>Kenya Airports Authority Annual Report for Year ending June 2017</t>
  </si>
  <si>
    <t>EMPRESA AEROPORTOS DE MOÇAMBIQUE: MAIS UM ÓNUS PARA AS GERAÇÕES FUTURAS</t>
  </si>
  <si>
    <t>Namibia Airports Company Annual Report 2015/2016</t>
  </si>
  <si>
    <t>"FAAN income on Passenger Service Charge hit N38bn in 2017, says MD" , The Guardian , 12 March 2018</t>
  </si>
  <si>
    <t>Seychelles Civil Aviation Authority Annual Report for 2017`</t>
  </si>
  <si>
    <t>ACSA Integrated Report for 2018</t>
  </si>
  <si>
    <t>Annual Report for Year Ending March 2017</t>
  </si>
  <si>
    <t>"Aviation industry shrinks as financial crunch bites", The Citizen, 16 Nov 2018</t>
  </si>
  <si>
    <t>Annual Report for 2017</t>
  </si>
  <si>
    <t>"ONDA: +10% increase in sales in 2017 (Translated from French)", challenge.ma, 20 Feb 2018</t>
  </si>
  <si>
    <t>TAV Airports Financial Statement 2018</t>
  </si>
  <si>
    <t>"Cairo Airport: EGP 2.6 bil this this year" (Translated from Arabic), Dot Misr, 25 Dec 2015</t>
  </si>
  <si>
    <t>"Bahrain Airport Company posts 34m net profit", Trade Arabia Business News Information, 30 May 2018</t>
  </si>
  <si>
    <t>Revenue for selected Transportation Divisions - Israel Central Bureau of Statistics</t>
  </si>
  <si>
    <t>Groupe ADP acquires the exclusive control of Airport International Group (Press Release)</t>
  </si>
  <si>
    <t>"YR 255 million for the international airport in 2016 (Translated from Arabic)",Yemen Monitor, 8 Jan 2017</t>
  </si>
  <si>
    <t>"Civil Aviation: SAR 6.4 bil gross profit of the Authority after rising revenues 29.5% during 2017 .. Airports Jeddah and Riyadh in the lead" (Translated from Arabic), maaal.com, 8 August 2018</t>
  </si>
  <si>
    <t>GVK Power &amp; Infrastructure Limited 24th Annual Report</t>
  </si>
  <si>
    <t>Cochin International Airport Limited Annual Report 2017-2018</t>
  </si>
  <si>
    <t>GMR Hyderabad Airport Limited Financial Statement for year ending March 2018</t>
  </si>
  <si>
    <t>Airports Authority of India Annual Report 2017-2018</t>
  </si>
  <si>
    <t>Delhi International Airport Limited Annual Report 2018-2019</t>
  </si>
  <si>
    <t>Bangalore International Airport Limited Annual Report 2016-2017</t>
  </si>
  <si>
    <t>"Most of the airports in the country make losses", myRepublica, 28 Jan 2017</t>
  </si>
  <si>
    <t>Airport and Aviation Services (Sri Lanka) Ltd Annual Report for 2018</t>
  </si>
  <si>
    <t>Angkasa Pura 1 Annual Report 2018</t>
  </si>
  <si>
    <t>Angkasa Pura 2 Annual Report 2018</t>
  </si>
  <si>
    <t>Airports of Thailand 2018 Annual Report</t>
  </si>
  <si>
    <t>Bangkok Airways Annual Report 2018</t>
  </si>
  <si>
    <t>Vinci Airports 2018  Full Year  Results</t>
  </si>
  <si>
    <t>GMR Megawide Investor Presentation 2018</t>
  </si>
  <si>
    <t>Manila International Airport Annual Audited Report 2018</t>
  </si>
  <si>
    <t>Clark International Airport Annual Report 2017</t>
  </si>
  <si>
    <t>MAHB Financial Results for Year Ending December 2018</t>
  </si>
  <si>
    <t>MMC Corporation Annual Report for 2018</t>
  </si>
  <si>
    <t>ACV Audited Financial Statements for 2018</t>
  </si>
  <si>
    <t>Changi Airport Group Annual Report 2017/2018</t>
  </si>
  <si>
    <t>Yunnan Airport Group Co. Ltd Annual Report for 2018</t>
  </si>
  <si>
    <t>Xiamen International Airport Co. Ltd Annual Report for 2018</t>
  </si>
  <si>
    <t>Shenzhen Airport Co. Ltd Annual Report for 2018</t>
  </si>
  <si>
    <t>Shanghai International Airport Company Annual Report for 2018</t>
  </si>
  <si>
    <t>Nanjing Lukou International Airport Co. Ltd Annual Report for 2017</t>
  </si>
  <si>
    <t>GBIAC Annual Report for 2018</t>
  </si>
  <si>
    <t>Guangxi Airports Company Annual Report for 2017</t>
  </si>
  <si>
    <t>Regal International Airport Group Co. Ltd Annual Report for 2018</t>
  </si>
  <si>
    <t>Chengdu Shuangliu International Airport Co. Ltd Annual Report for 2018</t>
  </si>
  <si>
    <t>BCIA Annual Report for 2018</t>
  </si>
  <si>
    <t>Xinjiang Airport Group Co, Ltd Annual Report for 2018</t>
  </si>
  <si>
    <t>Fraport 2018 Annual Report</t>
  </si>
  <si>
    <t>Chongqing Airport Group 2018 Financial Statement</t>
  </si>
  <si>
    <t>Hong Kong International Airport Annual Report 2017/2018</t>
  </si>
  <si>
    <t>"CAM Holds Annual General Assembly Ordinary Meeting and Board Meeting (2018), Grasps Opportunity for Stable Development", Sociedade do Aeroporto Internacional de Macau Press Release, 29 March 2018</t>
  </si>
  <si>
    <t>Taoyuan International Airport Corporation Annual Report for Year 107 (2018)</t>
  </si>
  <si>
    <t>Taipei Songshan Airport 2017 Annual Report</t>
  </si>
  <si>
    <t>Financial Report for FY2018</t>
  </si>
  <si>
    <t>Hiroshima Airport Building Co. Report for the 58th period</t>
  </si>
  <si>
    <t>Kansai Airports Financial Report for FY2018</t>
  </si>
  <si>
    <t>Nagasaki Airport Building Co. Report for the 60th period</t>
  </si>
  <si>
    <t>Matsuyama Airport Building Co. Report for the 40th period</t>
  </si>
  <si>
    <t>Incheon International Airports Corporation Annual Report for 2018</t>
  </si>
  <si>
    <t>"Korea Airports Corporation moves into Latin America as the political heat is turned up at home", Blue Swan Daily, 18 Jan 2019</t>
  </si>
  <si>
    <t>DME Ltd Financial Accounts for H1 2018</t>
  </si>
  <si>
    <t>Sheremetyevo Airport Financial Accounts for 2018</t>
  </si>
  <si>
    <t>2016 Annual Accounts</t>
  </si>
  <si>
    <t>"Sberbank will remain in "Basel Aero" (Translated from Russian), Vedomosti, 15 Oct 2018</t>
  </si>
  <si>
    <t>"Station for two: who and why buys Gelendzhik Airport (Translated from Russian)", vedomosti, April 2018</t>
  </si>
  <si>
    <t>Basel Aero (Sochi, Krasnador and Anapa International Airports)</t>
  </si>
  <si>
    <t>""Vnukovo" is in a good place in good time " (Translated from Russian)", Vedomosti, 13 June 2018</t>
  </si>
  <si>
    <t>Almaty Airport JSC Annual Report 2017 in Russian</t>
  </si>
  <si>
    <t>"JSC "Manas International Airport" about the real state of affairs in the company" (Translated from Russian), 24.kg, 5 June 2018</t>
  </si>
  <si>
    <t>"The activities of the Civil Aviation Agency under the Government of the Republic of Tajikistan" (Translated from Russian), JSC International Airport Dushanbe Press Release</t>
  </si>
  <si>
    <t>"Boryspil Airport Received A Record Income for the Past Year (Translated from Ukrainian)", 5.ua,12 Feb 2018</t>
  </si>
  <si>
    <t>TAV Financial Statement 2018</t>
  </si>
  <si>
    <t>Corporacion America 2017 Presentation</t>
  </si>
  <si>
    <t>Dubrovnik Airport Annual Report for 2017</t>
  </si>
  <si>
    <t>Fraport Annual Report for 2018</t>
  </si>
  <si>
    <t>Sofia Airport EAD Annual Activity Report for 2016 (In Bulgarian)</t>
  </si>
  <si>
    <t>"Bucharest Airports Company sees higher revenues in 2017", Romania Insider, 3 Jan 2018</t>
  </si>
  <si>
    <t>Fraport Slovenia Annual Report 2017</t>
  </si>
  <si>
    <t>Fraport "Group A" (Greek Airports)</t>
  </si>
  <si>
    <t>Fraport Greece "Group B" Airports Financial Statement for 2017</t>
  </si>
  <si>
    <t>Fraport Greece "Group A" Airports Financial Statement for 2017</t>
  </si>
  <si>
    <t>Athens International Airport Annual Report for 2018</t>
  </si>
  <si>
    <t>Number of passengers at Nikola Tesla Airport increases – Net profit in first 11 months grows by 2%", ekapjia, 3 Dec 2018</t>
  </si>
  <si>
    <t>TAV Airports Financial Statement for 2018</t>
  </si>
  <si>
    <t>Prague Airport Annual Report for 2018</t>
  </si>
  <si>
    <t>Turnover over Total Assets Ratio</t>
  </si>
  <si>
    <t>AviAlliance Corporate Presentation for 2018</t>
  </si>
  <si>
    <t>Flughafen Wien Group Annual Report 2018</t>
  </si>
  <si>
    <t>Flughafen Innsbruck Airport Annual Report 2017</t>
  </si>
  <si>
    <t>Flughafen Graz Annual Report for 2018</t>
  </si>
  <si>
    <t>Berlin Airports Annual Report for 2017</t>
  </si>
  <si>
    <t>Cologne Airport Annual Report for 2017</t>
  </si>
  <si>
    <t>Düsseldorf Airport Annual Report for 2018</t>
  </si>
  <si>
    <t>Hamburg Airport Annual Report for 2017</t>
  </si>
  <si>
    <t>Flughafen Hannover-Langenhagen GmbH Annual Report for 2017</t>
  </si>
  <si>
    <t>Munich Airport Annual Report for 2018</t>
  </si>
  <si>
    <t>Letisko M. R. Štefánika - Airport Bratislava Annual Report for 2018</t>
  </si>
  <si>
    <t>"Polish Airports’ State Enterprise (PPL) record financial result", Link to Poland, 16 March 2017</t>
  </si>
  <si>
    <t>Groupe ADP Release of 2018 Results</t>
  </si>
  <si>
    <t>"Bordeaux Airport: strategy for a successful take-off (Translated from French)", La Tribune Bordeaux, 5 Jan 2017</t>
  </si>
  <si>
    <t>La Reunion Airport Annual Report for 2017</t>
  </si>
  <si>
    <t>Marseille Airport Annual Report for 2017</t>
  </si>
  <si>
    <t>Toulouse Airport Annual Report for 2017</t>
  </si>
  <si>
    <t>Financial Profile of Beauvais-Tille Airport (In French)</t>
  </si>
  <si>
    <t>"Aéroport de Saint-Exupéry : Vinci généreux avec les actionnaires et le directeur général" (In French), Lyon Mag, 13 July 2017</t>
  </si>
  <si>
    <t>DAA Annual Report for 2018</t>
  </si>
  <si>
    <t>Aeroporti di Roma Annual Report for 2018</t>
  </si>
  <si>
    <t>Aeroporti di Milan Annual Report for 2018</t>
  </si>
  <si>
    <t>Aeroporti di Napoli Financial Statement for 2018</t>
  </si>
  <si>
    <t>Toscana Aeroporti Financial Report for 2017</t>
  </si>
  <si>
    <t>Gruppo Save Financial Statement for 2017</t>
  </si>
  <si>
    <t>Aeroporti Bologna Financial Statement for 2018</t>
  </si>
  <si>
    <t>Aberdeen Airport Ltd Statutory Accounts 2015</t>
  </si>
  <si>
    <t>Birmingham Airport Ltd Annual Report 2017/2018</t>
  </si>
  <si>
    <t>Bristol Airport Ltd Annual Report for year ending Dec 2016</t>
  </si>
  <si>
    <t>Cardiff Airport in profit for the first time in eight years, Wales Online, 3 Oct 2018</t>
  </si>
  <si>
    <t>Cornwall Airport Ltd Strategic Report for Year Ending March 2016</t>
  </si>
  <si>
    <t>Endinburgh Airport Ltd Annual Report for 2018</t>
  </si>
  <si>
    <t>TS Prestwick HoldCo Ltd Annual Report for 2016</t>
  </si>
  <si>
    <t>Guernsey Airport Annual Report 2017</t>
  </si>
  <si>
    <t>Highland and Islands Airports Limited Annual Report 2017/2018</t>
  </si>
  <si>
    <t>"Liverpool Airport's Pre- Tax Profits Halve", Insider Media, 8 Jan 2018</t>
  </si>
  <si>
    <t>"City Airport profits skid as passenger numbers dip", Telegraph UK, 16 July 2018</t>
  </si>
  <si>
    <t>Gatwick Airport Ltd Annual Report for year ending March 2019</t>
  </si>
  <si>
    <t>Heathrow Airport Holdings Limited 2018 Annual Accounts</t>
  </si>
  <si>
    <t>London Luton Airport Operations Ltd Annual Report for 2018</t>
  </si>
  <si>
    <t>Manchester Airport Group Annual Report for Year ending March 2019</t>
  </si>
  <si>
    <t>Stobart Group Annual Report Ending June 2019</t>
  </si>
  <si>
    <t>"RIGBY GROUP DELIVERS BEST EVER RESULTS", Rigby Group Press Release, 19 Sept 2018</t>
  </si>
  <si>
    <t>Aéroport de Genève Annual Report for 2018</t>
  </si>
  <si>
    <t>Zurich Airport Annual Report for 2018</t>
  </si>
  <si>
    <t>Aéroport de Bâle-Mulhouse Annual Report for 2018</t>
  </si>
  <si>
    <t>AENA Results Presentation for 2018</t>
  </si>
  <si>
    <t>ANA Group Annual Report for 2018</t>
  </si>
  <si>
    <t>Luxembourg Airport Annual Report 2017</t>
  </si>
  <si>
    <t>Schiphol Group Annual Report 2018</t>
  </si>
  <si>
    <t>Malta Airport Business Report 2018</t>
  </si>
  <si>
    <t>Copenhagen Airport A/S Annual Report for 2018</t>
  </si>
  <si>
    <t>Isavia Annual Report for 2018</t>
  </si>
  <si>
    <t>Finavia Annual Report for 2018</t>
  </si>
  <si>
    <t>Avinor Annual Report for 2018</t>
  </si>
  <si>
    <t>Swedavia Annual Report for 2018</t>
  </si>
  <si>
    <t>"Riga Airport Turnover Exceeds 25 Million Euros in the First Half of the Year", Riga Airport Press Release</t>
  </si>
  <si>
    <t>"Revenue of Lithuanian Airports for the first half of 2018 has exceeded 20 million EUR", Lithuanian Airports Press Release</t>
  </si>
  <si>
    <t>Tallin Airport Ltd Annual Report for 2018</t>
  </si>
  <si>
    <t>Brisbane Airport Annual Report 2018</t>
  </si>
  <si>
    <t>Adelaide Airport Integrated Annual Report 2017/2018</t>
  </si>
  <si>
    <t>Newcastle Airport Annual Report 2018</t>
  </si>
  <si>
    <t>Wellington International Airport Annual Report 2018</t>
  </si>
  <si>
    <t>Perth Airport Annual Report 2017/2018</t>
  </si>
  <si>
    <t>ADG Annual Report 2017/2018</t>
  </si>
  <si>
    <t>Queensland Airports Ltd Annual Report 2018</t>
  </si>
  <si>
    <t>Sydney Airport 2018 Annual Report</t>
  </si>
  <si>
    <t>APAC Annual Report 2017/2018</t>
  </si>
  <si>
    <t>Christchurch Airport Financial Statement 2018</t>
  </si>
  <si>
    <t>Waikoto Regional Airport Group Annual Report 2018</t>
  </si>
  <si>
    <t>Auckland Airport Annual Report 2018</t>
  </si>
  <si>
    <t>Dunedin Airport Annual Report 2018</t>
  </si>
  <si>
    <t>Airports Fiji Limited Annual Report for 2016</t>
  </si>
  <si>
    <t>Tonga Airports Limited Annual Report for 2016</t>
  </si>
  <si>
    <t>Annual Report for FY2018</t>
  </si>
  <si>
    <t>Commonwealth Port Authority FY 2016 Highlights</t>
  </si>
  <si>
    <t>Samoa Airport Authority 2017 Annual Report</t>
  </si>
  <si>
    <t>Aéroport de Tahiti Annual Report for 2017</t>
  </si>
  <si>
    <t>FAA Certification Activity Tracking System (Form 127)</t>
  </si>
  <si>
    <t>Hawaii Department of Transport Airports Division Audit Report 2018</t>
  </si>
  <si>
    <t>Nassau Airport Development Company 2017 Annual Report</t>
  </si>
  <si>
    <t>Vinci 2018 Full Year Results</t>
  </si>
  <si>
    <t>NMIA Airports Limited Annual Report 2016-2017</t>
  </si>
  <si>
    <t>"Sangster Airport Generates US$52m Revenue In Six Months", Jamaica Gleaner, 8 August 2018</t>
  </si>
  <si>
    <t>"Revenue from Romero airport grew 30% in the last five years" (Translated from Spanish), El Mundo, 8 May 2017</t>
  </si>
  <si>
    <t>Tocumen International Airport Annual Report for 2017</t>
  </si>
  <si>
    <t xml:space="preserve">CORPAC </t>
  </si>
  <si>
    <t>CORPAC Annual Report for 2018</t>
  </si>
  <si>
    <t>AICM Financial Statement for 2017</t>
  </si>
  <si>
    <t>ASUR Annual Report for 2018</t>
  </si>
  <si>
    <t>OMA Annual Report for 2018</t>
  </si>
  <si>
    <t>GAP Annual Report for 2018</t>
  </si>
  <si>
    <t>Aeropuertos Argentina 2000 S.A. Financial Statements for 2018</t>
  </si>
  <si>
    <t>Viracopos Airport Financial Statement for 2018</t>
  </si>
  <si>
    <t>Galeao Airport Financial Report for 2018</t>
  </si>
  <si>
    <t>Confins Airport Financial Summary for 2018</t>
  </si>
  <si>
    <t>Infraero Annual Report for 2017</t>
  </si>
  <si>
    <t>Guarulhos Airport Financial Report for 2018</t>
  </si>
  <si>
    <t>Hang Nadim Airport is Targeted to Serve 6.7 Million Passengers &amp; Earn Revenue of IDR 180 Billion 2017 (Translated from Indonesian), BeritaTrans, Jan 30 2017</t>
  </si>
  <si>
    <t>Nuevo Pudahuel S.A. Annual Report for 2018</t>
  </si>
  <si>
    <t>Aeroportuario de Calama Financial Statement for 2018</t>
  </si>
  <si>
    <t>Sociedad Concesionaria Aeropuerto Regional de Atacama S.A Financial Statement for 2018</t>
  </si>
  <si>
    <t>Sociedad Concesionaria Aeropuerto Araucanía S.A. Financial Statement for 2018</t>
  </si>
  <si>
    <t>Odinsa Annual Report 2017</t>
  </si>
  <si>
    <t>Academic Thesis - Analysis of Financial Incidents in the Concessionaire of Guayaquil Airport Corresponding to the 2016 Period (Translated from Spanish)</t>
  </si>
  <si>
    <t>"CJIA saw 14 percent increase in arrivals in 2017", Guyana Government Department of Public Information, 4 Jan 2017</t>
  </si>
  <si>
    <t>Puerta Del Sur Annual Report for 2018</t>
  </si>
  <si>
    <t>Aeroport de Montreal Annual Report for 2018</t>
  </si>
  <si>
    <t>Greater Toronto Airports Authority Annual Report for 2018</t>
  </si>
  <si>
    <t>Vancouver Airport Authority Annual Report for 2018</t>
  </si>
  <si>
    <t>Calgary Airport Authority Annual Report for 2018</t>
  </si>
  <si>
    <t>Edmonton Airports Annual Report for 2018</t>
  </si>
  <si>
    <t>Halifax International Airport Authority Annual Report for 2018</t>
  </si>
  <si>
    <t>Ottawa Macdonald–Cartier International Airport Authority Annual Report for 2018</t>
  </si>
  <si>
    <t>Winnipeg Airports Authority Annual Report for 2018</t>
  </si>
  <si>
    <t>Victoria International Airport Annual Report for 2018</t>
  </si>
  <si>
    <t>St John's International Airport Annual Report for 2018</t>
  </si>
  <si>
    <t>Denver International Airport Financial Report for 2018</t>
  </si>
  <si>
    <t>Los Angeles World Airports Annual Report for 2018</t>
  </si>
  <si>
    <t>Financial Report for Year Ending June 2018</t>
  </si>
  <si>
    <t>San Francisco International Airport Audited Financial Statements for Year Ending June 2018</t>
  </si>
  <si>
    <t>Comprehensive Financial Report for Year Ending Dec 2018</t>
  </si>
  <si>
    <t>Comprehensive Annual Financial Report for Year Ending June 2018</t>
  </si>
  <si>
    <t>Dallas Fort Worth International Airport Comprehensive Annual Financial Report for Year Ending Sept 2018</t>
  </si>
  <si>
    <t>Hartsfield Jackson International Airport Annual Financial Report for 2018</t>
  </si>
  <si>
    <t>Chicago O'Hare International Airport Annual Financial Report for 2018</t>
  </si>
  <si>
    <t>Las Vegas McCarran International Airport Annual Financial Report for 2018</t>
  </si>
  <si>
    <t>Miami Dade County Annual Financial Report for 2018</t>
  </si>
  <si>
    <t xml:space="preserve">City of Phoenix Aviation Department Financial Report for 2018 </t>
  </si>
  <si>
    <t>Minneapolis/St Paul Metropolitan Airport Financial Report for 2018</t>
  </si>
  <si>
    <t>Fort Lauderdale Airport Financial Report for Year Ending Sept 2017</t>
  </si>
  <si>
    <t>City of Dallas Annual Comprehensive Financial Report for Year Ending Sept 2018</t>
  </si>
  <si>
    <t>Tampa International Airport Financial Report for Year Ending Sept 2018</t>
  </si>
  <si>
    <t xml:space="preserve">Aero Revenue </t>
  </si>
  <si>
    <t xml:space="preserve">Pax Service Fees </t>
  </si>
  <si>
    <t xml:space="preserve">Landing &amp; Parking Charges </t>
  </si>
  <si>
    <t xml:space="preserve">Non-Aero Revenue </t>
  </si>
  <si>
    <t xml:space="preserve">Duty Free </t>
  </si>
  <si>
    <t xml:space="preserve">Retail </t>
  </si>
  <si>
    <t xml:space="preserve">Retail (Incl. DF) </t>
  </si>
  <si>
    <t xml:space="preserve">F&amp;B </t>
  </si>
  <si>
    <t xml:space="preserve">DF, Retail and F&amp;B </t>
  </si>
  <si>
    <t xml:space="preserve">Advertising </t>
  </si>
  <si>
    <t xml:space="preserve">Car Parking </t>
  </si>
  <si>
    <t>Operating Expenses (incl. Depreciation &amp; Amortization)</t>
  </si>
  <si>
    <t xml:space="preserve">Utilities Expenses </t>
  </si>
  <si>
    <t>Repairs &amp; Maintenance Expenses</t>
  </si>
  <si>
    <t>Net Cashflow from Operations</t>
  </si>
  <si>
    <t xml:space="preserve">Current Liabilities </t>
  </si>
  <si>
    <t xml:space="preserve">Current Assets </t>
  </si>
  <si>
    <t xml:space="preserve">Average Total Assets </t>
  </si>
  <si>
    <t xml:space="preserve">Total Assets </t>
  </si>
  <si>
    <t xml:space="preserve">Net Profit </t>
  </si>
  <si>
    <t>Taoyuan International Airport Corporation Annual Budget for Year 107 (2018)</t>
  </si>
  <si>
    <t>Opex (including Depreciation &amp; Amortization) per passenger (US$)</t>
  </si>
  <si>
    <t>% of Utilities Costs over Opex</t>
  </si>
  <si>
    <t xml:space="preserve">% of Depreciation &amp; Amortization Costs over Opex </t>
  </si>
  <si>
    <t xml:space="preserve">% of Maintenance Costs over Opex </t>
  </si>
  <si>
    <t>% of Staff Expenses over Opex</t>
  </si>
  <si>
    <t>EBITDA per passenger</t>
  </si>
  <si>
    <t>% EBITDA Margin</t>
  </si>
  <si>
    <t xml:space="preserve">Operating profit per passenger </t>
  </si>
  <si>
    <t>% Operating Profit Margin</t>
  </si>
  <si>
    <t>Net Profit per passenger</t>
  </si>
  <si>
    <t>% Net Profit Margin</t>
  </si>
  <si>
    <t>Cash Flow over Total Assets Ratio</t>
  </si>
  <si>
    <t>Return on Assets Ratio</t>
  </si>
  <si>
    <t>WST</t>
  </si>
  <si>
    <t>Revenue derived from passenger service fee collections.</t>
  </si>
  <si>
    <t>Revenue derived from payment for landing and parking services. May not be applicable to airport operators not operating the runways.</t>
  </si>
  <si>
    <t>Non-Aero Revenue/Number of passengers</t>
  </si>
  <si>
    <t>Duty-Free Revenue</t>
  </si>
  <si>
    <t>Duty-free Revenue/Number of International Passengers.</t>
  </si>
  <si>
    <t>Retail and Duty-free Revenue</t>
  </si>
  <si>
    <t>F&amp;B Revenue</t>
  </si>
  <si>
    <t>F&amp;B Revenue per passenger/Number of Passengers</t>
  </si>
  <si>
    <t>Duty-Free, Retail and F&amp;B Revenue</t>
  </si>
  <si>
    <t>Duty-Free, Retail and F&amp;B Revenue per Passenger</t>
  </si>
  <si>
    <t>Duty-free, Retail and F&amp;B Revenue per passenger/Number of Passengers</t>
  </si>
  <si>
    <t>Advertising Revenue</t>
  </si>
  <si>
    <t>Car Parking Revenue</t>
  </si>
  <si>
    <t>Operating Revenue per Passenger</t>
  </si>
  <si>
    <t>Aero Revenue per Passenger</t>
  </si>
  <si>
    <t>Pax Service Fee Rev per Passenger</t>
  </si>
  <si>
    <t>Non-Aero Revenue per Passenger</t>
  </si>
  <si>
    <t>Retail and Duty-Free Revenue per Passenger</t>
  </si>
  <si>
    <t>F&amp;B Revenue per Passenger</t>
  </si>
  <si>
    <t>Advertising Revenue per Passenger</t>
  </si>
  <si>
    <t>Car Parking Revenue per Passenger</t>
  </si>
  <si>
    <t>Opex (including depreciation &amp; amortization) per Passenger</t>
  </si>
  <si>
    <t>Staff Cost per Passenger</t>
  </si>
  <si>
    <t xml:space="preserve">EBITDA per Passenger </t>
  </si>
  <si>
    <t>Operating Income per Passenger</t>
  </si>
  <si>
    <t>Net Profit per Passenger</t>
  </si>
  <si>
    <t>Landing and Parking Fee per Aircraft</t>
  </si>
  <si>
    <t>Duty-Free Revenue per Intl Passenger</t>
  </si>
  <si>
    <t>Labour Cost per Staff</t>
  </si>
  <si>
    <t>Passengers per Staff</t>
  </si>
  <si>
    <t>Operating Expenses(including depreciation &amp; amortization)/ Number of Passengers</t>
  </si>
  <si>
    <t>Staff Expenses/Number of Staff</t>
  </si>
  <si>
    <t>Operating Revenue/Average Total Assets</t>
  </si>
  <si>
    <t>Annual Report for Year Ending March 31 2019</t>
  </si>
  <si>
    <t>Fukuoka International Airport Co.,Ltd.</t>
  </si>
  <si>
    <t>Pax per Aircraft</t>
  </si>
  <si>
    <t>Labour Cost per Staff (US$)</t>
  </si>
  <si>
    <t>Labour Cost per Passenger (US$)</t>
  </si>
  <si>
    <t>Airport Development Fee (EUR 88.7 mil) included in operating revenues</t>
  </si>
  <si>
    <t>Revenues from construction services (EUR 110 mil) and costs from construction services (EUR 101 mil) were excluded from data.</t>
  </si>
  <si>
    <t>Government subsidies (GBP 1.8 mil) excluded from operating revenue</t>
  </si>
  <si>
    <t>Government subsidies (GBP 20.6 mil) excluded from operating revenue</t>
  </si>
  <si>
    <t>Assumptions by Airport Operator</t>
  </si>
  <si>
    <t xml:space="preserve">Presentation of staff data </t>
  </si>
  <si>
    <t>Government grants (EUR 10.0 mil) excluded in operating revenue</t>
  </si>
  <si>
    <t>Nuevo Pudahuel S.A. (Santiago  International Airport)</t>
  </si>
  <si>
    <t>Gross Revenue - CLP$205bil . Net Revenue after sharing with Government -CLP $47.99 bil. We have used net revenues of CLP $47.99 bil as operating revenues.</t>
  </si>
  <si>
    <t>Total operating revenues excludes revenues from construction (MXP 935k or USD 47k) and includes revenues from non-Mexico airport businesses. Total operating costs excludes costs of construction (MXP 935k or USD 47k)</t>
  </si>
  <si>
    <t>Total operating revenues excludes revenues from construction (MXP 1.1 bil). Total operating costs excludes costs of construction (MXP 1.1 bil).</t>
  </si>
  <si>
    <t>Total operating revenues excludes revenues from improvements to concession assets (MXP 1.4  bil) . Total operating costs excludes costs of improvements to concession assets (MXP 1.4 bil)</t>
  </si>
  <si>
    <t>Retail and Duty-Free Revenue per Passenger (US$)</t>
  </si>
  <si>
    <t>F&amp;B Revenue per Passenger (US$)</t>
  </si>
  <si>
    <t>DF, Retail and F&amp;B Revenue per Passenger (US$)</t>
  </si>
  <si>
    <t>Advertising Revenue per Passenger (US$)</t>
  </si>
  <si>
    <t>Car Parking Revenue per Passenger (US$)</t>
  </si>
  <si>
    <t>Aero revenues include airport development fee (EUR 67.9 mil).  Construction revenues (EUR 10.7 mil) and construction costs (EUR 10.7 mil) are excluded from operating revenues and operating costs respectively.</t>
  </si>
  <si>
    <t>Aero revenues include airport development fee (EUR 81.0 mil) . Construction revenues (EUR 10.7 mil) and construction costs (EUR 10.7 mil) are excluded from operating revenues and operating costs respectively.</t>
  </si>
  <si>
    <t>Nuevo Pudahuel S.A.</t>
  </si>
  <si>
    <t>Staff headcounts were presented in terms of FTE for the following airport operators</t>
  </si>
  <si>
    <t>Car parking and ground transport revenue was presented together for the following airport operators</t>
  </si>
  <si>
    <t>Disclaimer</t>
  </si>
  <si>
    <t>2. All of the information in our reports are sourced from the public domain. While we endeavor to keep the information up to date and correct, we (neither the company nor any of its employees) make no representations or warranties of any kind, express or implied, about the completeness, accuracy, reliability or suitability of the information contained in the report for any purpose. Any reliance you place on such information is therefore strictly at your own risk.</t>
  </si>
  <si>
    <t>4. The information contained herein is not intended to be a source of advice or credit analysis with respect to the material presented, and the information contained in this website does not constitute investment advice.</t>
  </si>
  <si>
    <t>3. In no event we will be liable for any loss or damage, indirect or consequential loss or damage, or any loss or damage whatsoever arising from decisions taken based on the report findings. Every effort is made to keep the report information accurate and reliable. However, Airport Insights takes no responsibility for, and will not be liable for, any losses.</t>
  </si>
  <si>
    <t>Passengers per aircraft</t>
  </si>
  <si>
    <t>Operating Revenue Per Passenger</t>
  </si>
  <si>
    <t>Aero Revenue Per Passenger</t>
  </si>
  <si>
    <t>Pax Service Fee Revenue Per Passenger</t>
  </si>
  <si>
    <t>Landing and Parking Fee Revenue Per Aircraft</t>
  </si>
  <si>
    <t>Non-Aero Revenue Per Passenger</t>
  </si>
  <si>
    <t>Duty-Free Revenue Per Intl Passenger</t>
  </si>
  <si>
    <t>Retail and Duty-Free Revenue Per Passenger</t>
  </si>
  <si>
    <t>F&amp;B Revenue Per Passenger</t>
  </si>
  <si>
    <t>Advertising Revenue Per Passenger</t>
  </si>
  <si>
    <t>Car Parking Revenue Per Passenger</t>
  </si>
  <si>
    <t>Labour Cost Per Staff</t>
  </si>
  <si>
    <t>Staff Cost Per Passenger</t>
  </si>
  <si>
    <t>Passengers Per Staff</t>
  </si>
  <si>
    <t xml:space="preserve">EBITDA per passenger </t>
  </si>
  <si>
    <t>Operating Income Per Passenger</t>
  </si>
  <si>
    <t>Net Profit Per Passenger</t>
  </si>
  <si>
    <t>About Airport Insights</t>
  </si>
  <si>
    <r>
      <t>Airport Insights (</t>
    </r>
    <r>
      <rPr>
        <sz val="10"/>
        <color theme="4"/>
        <rFont val="Arial"/>
        <family val="2"/>
      </rPr>
      <t>https://www.airportinsights.com</t>
    </r>
    <r>
      <rPr>
        <sz val="10"/>
        <color theme="1"/>
        <rFont val="Arial"/>
        <family val="2"/>
      </rPr>
      <t>) is a provider of market , financial and competitive intelligence for airports, governments, consultancies and investors. We utilize both primary and secondary research tools to collect the type of qualitative and quantitative data our clients need.</t>
    </r>
  </si>
  <si>
    <r>
      <t xml:space="preserve">For more information about our company, please email us at </t>
    </r>
    <r>
      <rPr>
        <sz val="10"/>
        <color theme="4"/>
        <rFont val="Arial"/>
        <family val="2"/>
      </rPr>
      <t>mail@airport-insights.com</t>
    </r>
  </si>
  <si>
    <t>Opex (including Depreciation &amp; Amortization) per passenger</t>
  </si>
  <si>
    <t>% of Depreciation &amp; Amortization  Costs over Opex</t>
  </si>
  <si>
    <t>Data Source</t>
  </si>
  <si>
    <r>
      <t>1. Reproduction or redistribution of this report in any format for any purpose is expressly prohibited without written permission of Airport Insights Pte Ltd and any payments of a specified fee. Requests to republish any material may be sent to </t>
    </r>
    <r>
      <rPr>
        <b/>
        <sz val="10"/>
        <color theme="1"/>
        <rFont val="Arial"/>
        <family val="2"/>
      </rPr>
      <t>mail@airport-insights.com</t>
    </r>
  </si>
  <si>
    <t>Operating Revenue per Passenger (US$)</t>
  </si>
  <si>
    <t>Aero Revenue per Passenger (US$)</t>
  </si>
  <si>
    <t>Passenger Service Fee Revenue per Passenger (US$)</t>
  </si>
  <si>
    <t>Landing and Parking Fee Revenue per Arriving Aircraft (US$)</t>
  </si>
  <si>
    <t>Non-Aero Revenue per Passenger (US$)</t>
  </si>
  <si>
    <t>Duty-Free Revenue per Intl Passenger (US$)</t>
  </si>
  <si>
    <t>+</t>
  </si>
  <si>
    <t>Legend for Datasheets in Sample Document</t>
  </si>
  <si>
    <t>Data Available</t>
  </si>
  <si>
    <t>No Data Available</t>
  </si>
  <si>
    <t>About the Global Airport Financial Benchmarking Database - Sample Document</t>
  </si>
  <si>
    <t>St John's International Airport Authority</t>
  </si>
  <si>
    <t>Changi Airport Group</t>
  </si>
  <si>
    <t>Brisbane Airport Corporation</t>
  </si>
  <si>
    <t>The Global Airport Financial Benchmarking Database is a compilation of financial performance data of over 250 airport operators from all over the world.  For the 1st edition of this benchmarking study, the majority of the data collected -  entirely from the public domain - represents the financial performance  of the airport operator for period of time (in most cases a full year between 2016-2018).  The key indicators of financial performance that have been derived are as listed below in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</si>
</sst>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0.000000000"/>
    <numFmt numFmtId="166" formatCode="#,##0.00000000"/>
    <numFmt numFmtId="167" formatCode="#,##0.000000"/>
    <numFmt numFmtId="168" formatCode="#,##0.0000"/>
    <numFmt numFmtId="169" formatCode="#,##0.0"/>
    <numFmt numFmtId="170" formatCode="#,##0_ ;\-#,##0\ "/>
    <numFmt numFmtId="171" formatCode="0.000"/>
    <numFmt numFmtId="172" formatCode="0.0"/>
    <numFmt numFmtId="173" formatCode="0.0%"/>
    <numFmt numFmtId="174"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1"/>
      <color theme="8"/>
      <name val="Calibri"/>
      <family val="2"/>
      <scheme val="minor"/>
    </font>
    <font>
      <sz val="11"/>
      <color rgb="FF0070C0"/>
      <name val="Calibri"/>
      <family val="2"/>
      <scheme val="minor"/>
    </font>
    <font>
      <b/>
      <sz val="11"/>
      <color rgb="FFFF0000"/>
      <name val="Calibri"/>
      <family val="2"/>
      <scheme val="minor"/>
    </font>
    <font>
      <sz val="11"/>
      <color theme="3" tint="0.39997558519241921"/>
      <name val="Calibri"/>
      <family val="2"/>
      <scheme val="minor"/>
    </font>
    <font>
      <sz val="11"/>
      <color rgb="FF222222"/>
      <name val="Calibri"/>
      <family val="2"/>
      <scheme val="minor"/>
    </font>
    <font>
      <sz val="8"/>
      <name val="Calibri"/>
      <family val="2"/>
      <scheme val="minor"/>
    </font>
    <font>
      <u/>
      <sz val="11"/>
      <color theme="10"/>
      <name val="Calibri"/>
      <family val="2"/>
      <scheme val="minor"/>
    </font>
    <font>
      <b/>
      <sz val="10"/>
      <color theme="0"/>
      <name val="Arial"/>
      <family val="2"/>
    </font>
    <font>
      <sz val="10"/>
      <color theme="1"/>
      <name val="Arial"/>
      <family val="2"/>
    </font>
    <font>
      <sz val="10"/>
      <name val="Arial"/>
      <family val="2"/>
    </font>
    <font>
      <sz val="10"/>
      <color rgb="FF222222"/>
      <name val="Arial"/>
      <family val="2"/>
    </font>
    <font>
      <b/>
      <sz val="10"/>
      <color theme="1"/>
      <name val="Arial"/>
      <family val="2"/>
    </font>
    <font>
      <b/>
      <sz val="10"/>
      <name val="Arial"/>
      <family val="2"/>
    </font>
    <font>
      <u/>
      <sz val="10"/>
      <name val="Arial"/>
      <family val="2"/>
    </font>
    <font>
      <u/>
      <sz val="11"/>
      <name val="Calibri"/>
      <family val="2"/>
      <scheme val="minor"/>
    </font>
    <font>
      <sz val="11"/>
      <color theme="1"/>
      <name val="Arial"/>
      <family val="2"/>
    </font>
    <font>
      <sz val="10"/>
      <color theme="4"/>
      <name val="Arial"/>
      <family val="2"/>
    </font>
    <font>
      <sz val="10"/>
      <color theme="0"/>
      <name val="Arial"/>
      <family val="2"/>
    </font>
  </fonts>
  <fills count="10">
    <fill>
      <patternFill patternType="none"/>
    </fill>
    <fill>
      <patternFill patternType="gray125"/>
    </fill>
    <fill>
      <patternFill patternType="solid">
        <fgColor theme="3"/>
        <bgColor indexed="64"/>
      </patternFill>
    </fill>
    <fill>
      <patternFill patternType="solid">
        <fgColor rgb="FF002060"/>
        <bgColor indexed="64"/>
      </patternFill>
    </fill>
    <fill>
      <patternFill patternType="solid">
        <fgColor theme="7"/>
        <bgColor indexed="64"/>
      </patternFill>
    </fill>
    <fill>
      <patternFill patternType="solid">
        <fgColor rgb="FFFFC000"/>
        <bgColor indexed="64"/>
      </patternFill>
    </fill>
    <fill>
      <patternFill patternType="solid">
        <fgColor theme="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dashed">
        <color auto="1"/>
      </left>
      <right style="dashed">
        <color auto="1"/>
      </right>
      <top style="dashed">
        <color auto="1"/>
      </top>
      <bottom style="dashed">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2">
    <xf numFmtId="0" fontId="0" fillId="0" borderId="0" xfId="0"/>
    <xf numFmtId="0" fontId="2" fillId="2" borderId="0" xfId="0" applyFont="1" applyFill="1"/>
    <xf numFmtId="0" fontId="2" fillId="3" borderId="0" xfId="0" applyFont="1" applyFill="1" applyAlignment="1">
      <alignment horizontal="center" wrapText="1"/>
    </xf>
    <xf numFmtId="0" fontId="2" fillId="3" borderId="0" xfId="0" applyFont="1" applyFill="1" applyAlignment="1">
      <alignment horizontal="left" wrapText="1"/>
    </xf>
    <xf numFmtId="164" fontId="2" fillId="3" borderId="0" xfId="1" applyNumberFormat="1" applyFont="1" applyFill="1" applyAlignment="1">
      <alignment horizontal="center" wrapText="1"/>
    </xf>
    <xf numFmtId="3" fontId="2" fillId="3" borderId="0" xfId="0" applyNumberFormat="1"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left" wrapText="1"/>
    </xf>
    <xf numFmtId="3" fontId="0" fillId="0" borderId="0" xfId="1" applyNumberFormat="1" applyFont="1" applyAlignment="1">
      <alignment horizontal="center"/>
    </xf>
    <xf numFmtId="3" fontId="4" fillId="0" borderId="0" xfId="1" applyNumberFormat="1" applyFon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3" fillId="0" borderId="0" xfId="1" applyNumberFormat="1" applyFont="1" applyAlignment="1">
      <alignment horizontal="center"/>
    </xf>
    <xf numFmtId="3" fontId="3" fillId="0" borderId="0" xfId="0" applyNumberFormat="1" applyFont="1" applyAlignment="1">
      <alignment horizontal="center"/>
    </xf>
    <xf numFmtId="3" fontId="5" fillId="0" borderId="0" xfId="0" applyNumberFormat="1" applyFont="1"/>
    <xf numFmtId="3" fontId="5" fillId="0" borderId="0" xfId="2" applyNumberFormat="1" applyFont="1"/>
    <xf numFmtId="0" fontId="0" fillId="0" borderId="0" xfId="0" applyAlignment="1">
      <alignment horizontal="left" wrapText="1"/>
    </xf>
    <xf numFmtId="3" fontId="6" fillId="0" borderId="0" xfId="0" applyNumberFormat="1" applyFont="1" applyAlignment="1">
      <alignment horizontal="center"/>
    </xf>
    <xf numFmtId="3" fontId="5" fillId="0" borderId="0" xfId="0" applyNumberFormat="1" applyFont="1" applyAlignment="1">
      <alignment horizontal="center"/>
    </xf>
    <xf numFmtId="3" fontId="0" fillId="0" borderId="0" xfId="0" applyNumberFormat="1"/>
    <xf numFmtId="166" fontId="0" fillId="0" borderId="0" xfId="0" applyNumberFormat="1" applyAlignment="1">
      <alignment horizontal="center"/>
    </xf>
    <xf numFmtId="3" fontId="0" fillId="0" borderId="0" xfId="2" applyNumberFormat="1" applyFont="1" applyAlignment="1">
      <alignment horizontal="center"/>
    </xf>
    <xf numFmtId="3" fontId="4" fillId="0" borderId="0" xfId="2" applyNumberFormat="1" applyFont="1" applyAlignment="1">
      <alignment horizontal="center"/>
    </xf>
    <xf numFmtId="0" fontId="3" fillId="0" borderId="0" xfId="0" applyFont="1"/>
    <xf numFmtId="0" fontId="3" fillId="0" borderId="0" xfId="0" applyFont="1" applyAlignment="1">
      <alignment horizontal="center"/>
    </xf>
    <xf numFmtId="164" fontId="0" fillId="0" borderId="0" xfId="1" applyNumberFormat="1" applyFon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70" fontId="0" fillId="0" borderId="0" xfId="1" applyNumberFormat="1" applyFont="1" applyAlignment="1">
      <alignment horizontal="center"/>
    </xf>
    <xf numFmtId="170" fontId="4" fillId="0" borderId="0" xfId="1" applyNumberFormat="1" applyFont="1" applyAlignment="1">
      <alignment horizontal="center"/>
    </xf>
    <xf numFmtId="169" fontId="5" fillId="0" borderId="0" xfId="0" applyNumberFormat="1" applyFont="1"/>
    <xf numFmtId="3" fontId="0" fillId="0" borderId="0" xfId="0" applyNumberFormat="1" applyAlignment="1">
      <alignment horizontal="center" wrapText="1"/>
    </xf>
    <xf numFmtId="3" fontId="0" fillId="0" borderId="0" xfId="1" applyNumberFormat="1" applyFont="1" applyAlignment="1">
      <alignment horizontal="center" vertical="center"/>
    </xf>
    <xf numFmtId="3" fontId="0" fillId="0" borderId="0" xfId="0" applyNumberFormat="1" applyAlignment="1">
      <alignment horizontal="center" vertical="center"/>
    </xf>
    <xf numFmtId="3" fontId="3" fillId="0" borderId="0" xfId="0" applyNumberFormat="1" applyFont="1" applyAlignment="1">
      <alignment horizontal="center" vertical="center"/>
    </xf>
    <xf numFmtId="0" fontId="0" fillId="0" borderId="0" xfId="0" applyAlignment="1">
      <alignment horizontal="left"/>
    </xf>
    <xf numFmtId="0" fontId="5" fillId="0" borderId="0" xfId="0" applyFont="1"/>
    <xf numFmtId="0" fontId="0" fillId="0" borderId="0" xfId="0" applyAlignment="1">
      <alignment wrapText="1"/>
    </xf>
    <xf numFmtId="3" fontId="0" fillId="0" borderId="0" xfId="1" applyNumberFormat="1" applyFont="1" applyAlignment="1">
      <alignment horizontal="center" wrapText="1"/>
    </xf>
    <xf numFmtId="170" fontId="0" fillId="0" borderId="0" xfId="0" applyNumberForma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0" fontId="8" fillId="0" borderId="0" xfId="0" applyFont="1" applyAlignment="1">
      <alignment wrapText="1"/>
    </xf>
    <xf numFmtId="4" fontId="0" fillId="0" borderId="0" xfId="1" applyNumberFormat="1" applyFont="1" applyAlignment="1">
      <alignment horizontal="center"/>
    </xf>
    <xf numFmtId="0" fontId="0" fillId="0" borderId="0" xfId="0" applyAlignment="1">
      <alignment horizontal="center" vertical="center"/>
    </xf>
    <xf numFmtId="0" fontId="0" fillId="4" borderId="0" xfId="0" applyFill="1" applyAlignment="1">
      <alignment horizontal="center"/>
    </xf>
    <xf numFmtId="3" fontId="0" fillId="4" borderId="0" xfId="1" applyNumberFormat="1" applyFont="1" applyFill="1" applyAlignment="1">
      <alignment horizontal="center"/>
    </xf>
    <xf numFmtId="3" fontId="4" fillId="4" borderId="0" xfId="1" applyNumberFormat="1" applyFont="1" applyFill="1" applyAlignment="1">
      <alignment horizontal="center"/>
    </xf>
    <xf numFmtId="3" fontId="0" fillId="4" borderId="0" xfId="0" applyNumberFormat="1" applyFill="1" applyAlignment="1">
      <alignment horizontal="center"/>
    </xf>
    <xf numFmtId="3" fontId="4" fillId="4" borderId="0" xfId="0" applyNumberFormat="1" applyFont="1" applyFill="1" applyAlignment="1">
      <alignment horizontal="center"/>
    </xf>
    <xf numFmtId="3" fontId="3" fillId="4" borderId="0" xfId="1" applyNumberFormat="1" applyFont="1" applyFill="1" applyAlignment="1">
      <alignment horizontal="center"/>
    </xf>
    <xf numFmtId="3" fontId="5" fillId="4" borderId="0" xfId="0" applyNumberFormat="1" applyFont="1" applyFill="1"/>
    <xf numFmtId="3" fontId="3" fillId="4" borderId="0" xfId="2" applyNumberFormat="1" applyFont="1" applyFill="1"/>
    <xf numFmtId="3" fontId="5" fillId="4" borderId="0" xfId="2" applyNumberFormat="1" applyFont="1" applyFill="1"/>
    <xf numFmtId="3" fontId="3" fillId="4" borderId="0" xfId="0" applyNumberFormat="1" applyFont="1" applyFill="1" applyAlignment="1">
      <alignment horizontal="center"/>
    </xf>
    <xf numFmtId="0" fontId="0" fillId="0" borderId="0" xfId="0" applyFill="1" applyAlignment="1">
      <alignment horizontal="center"/>
    </xf>
    <xf numFmtId="3" fontId="0" fillId="0" borderId="0" xfId="1" applyNumberFormat="1" applyFont="1" applyFill="1" applyAlignment="1">
      <alignment horizontal="center"/>
    </xf>
    <xf numFmtId="3" fontId="0" fillId="0" borderId="0" xfId="0" applyNumberFormat="1" applyFill="1" applyAlignment="1">
      <alignment horizontal="center"/>
    </xf>
    <xf numFmtId="3" fontId="4" fillId="0" borderId="0" xfId="1" applyNumberFormat="1" applyFont="1" applyFill="1" applyAlignment="1">
      <alignment horizontal="center"/>
    </xf>
    <xf numFmtId="3" fontId="4" fillId="0" borderId="0" xfId="0" applyNumberFormat="1" applyFont="1" applyFill="1" applyAlignment="1">
      <alignment horizontal="center"/>
    </xf>
    <xf numFmtId="3" fontId="5" fillId="0" borderId="0" xfId="0" applyNumberFormat="1" applyFont="1" applyFill="1" applyAlignment="1">
      <alignment horizontal="center"/>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5" fillId="0" borderId="0" xfId="0" applyNumberFormat="1" applyFont="1" applyFill="1"/>
    <xf numFmtId="3" fontId="5" fillId="0" borderId="0" xfId="2" applyNumberFormat="1" applyFont="1" applyFill="1"/>
    <xf numFmtId="3" fontId="6" fillId="4" borderId="0" xfId="0" applyNumberFormat="1" applyFont="1" applyFill="1" applyAlignment="1">
      <alignment horizontal="center"/>
    </xf>
    <xf numFmtId="165" fontId="0" fillId="4" borderId="0" xfId="0" applyNumberFormat="1" applyFill="1" applyAlignment="1">
      <alignment horizontal="center"/>
    </xf>
    <xf numFmtId="164" fontId="0" fillId="4" borderId="0" xfId="1" applyNumberFormat="1" applyFont="1" applyFill="1" applyAlignment="1">
      <alignment horizontal="center"/>
    </xf>
    <xf numFmtId="3" fontId="0" fillId="4" borderId="0" xfId="2" applyNumberFormat="1" applyFont="1" applyFill="1" applyAlignment="1">
      <alignment horizontal="center"/>
    </xf>
    <xf numFmtId="3" fontId="4" fillId="4" borderId="0" xfId="2" applyNumberFormat="1" applyFont="1" applyFill="1" applyAlignment="1">
      <alignment horizontal="center"/>
    </xf>
    <xf numFmtId="0" fontId="3" fillId="0" borderId="0" xfId="0" applyFont="1" applyFill="1" applyAlignment="1">
      <alignment horizontal="center"/>
    </xf>
    <xf numFmtId="0" fontId="0" fillId="5" borderId="0" xfId="0" applyFill="1" applyAlignment="1">
      <alignment horizontal="center"/>
    </xf>
    <xf numFmtId="3" fontId="0" fillId="5" borderId="0" xfId="1" applyNumberFormat="1" applyFont="1" applyFill="1" applyAlignment="1">
      <alignment horizontal="center"/>
    </xf>
    <xf numFmtId="3" fontId="0" fillId="5" borderId="0" xfId="0" applyNumberFormat="1" applyFill="1" applyAlignment="1">
      <alignment horizontal="center"/>
    </xf>
    <xf numFmtId="3" fontId="4" fillId="5" borderId="0" xfId="1" applyNumberFormat="1" applyFont="1" applyFill="1" applyAlignment="1">
      <alignment horizontal="center"/>
    </xf>
    <xf numFmtId="3" fontId="4" fillId="5" borderId="0" xfId="0" applyNumberFormat="1" applyFont="1" applyFill="1" applyAlignment="1">
      <alignment horizontal="center"/>
    </xf>
    <xf numFmtId="3" fontId="3" fillId="5" borderId="0" xfId="0" applyNumberFormat="1" applyFont="1" applyFill="1" applyAlignment="1">
      <alignment horizontal="center"/>
    </xf>
    <xf numFmtId="3" fontId="5" fillId="5" borderId="0" xfId="0" applyNumberFormat="1" applyFont="1" applyFill="1"/>
    <xf numFmtId="3" fontId="5" fillId="5" borderId="0" xfId="2" applyNumberFormat="1" applyFont="1" applyFill="1"/>
    <xf numFmtId="167" fontId="0" fillId="5" borderId="0" xfId="0" applyNumberFormat="1" applyFill="1" applyAlignment="1">
      <alignment horizontal="center"/>
    </xf>
    <xf numFmtId="3" fontId="3" fillId="5" borderId="0" xfId="1" applyNumberFormat="1" applyFont="1" applyFill="1" applyAlignment="1">
      <alignment horizontal="center"/>
    </xf>
    <xf numFmtId="3" fontId="0" fillId="5" borderId="0" xfId="0" applyNumberFormat="1" applyFill="1"/>
    <xf numFmtId="3" fontId="5" fillId="5" borderId="0" xfId="0" applyNumberFormat="1" applyFont="1" applyFill="1" applyAlignment="1">
      <alignment horizontal="center"/>
    </xf>
    <xf numFmtId="4" fontId="0" fillId="5" borderId="0" xfId="0" applyNumberFormat="1" applyFill="1" applyAlignment="1">
      <alignment horizontal="center"/>
    </xf>
    <xf numFmtId="3" fontId="0" fillId="5" borderId="0" xfId="2" applyNumberFormat="1" applyFont="1" applyFill="1" applyAlignment="1">
      <alignment horizontal="center"/>
    </xf>
    <xf numFmtId="3" fontId="4" fillId="5" borderId="0" xfId="2" applyNumberFormat="1" applyFont="1" applyFill="1" applyAlignment="1">
      <alignment horizontal="center"/>
    </xf>
    <xf numFmtId="169" fontId="0" fillId="5" borderId="0" xfId="0" applyNumberFormat="1" applyFill="1" applyAlignment="1">
      <alignment horizontal="center"/>
    </xf>
    <xf numFmtId="169" fontId="5" fillId="5" borderId="0" xfId="0" applyNumberFormat="1" applyFont="1" applyFill="1"/>
    <xf numFmtId="0" fontId="5" fillId="5" borderId="0" xfId="0" applyFont="1" applyFill="1"/>
    <xf numFmtId="3" fontId="0" fillId="5" borderId="0" xfId="0" applyNumberFormat="1" applyFill="1" applyAlignment="1">
      <alignment horizontal="center" vertical="center"/>
    </xf>
    <xf numFmtId="3" fontId="3" fillId="5" borderId="0" xfId="0" applyNumberFormat="1" applyFont="1" applyFill="1" applyAlignment="1">
      <alignment horizontal="center" vertical="center"/>
    </xf>
    <xf numFmtId="3" fontId="6" fillId="5" borderId="0" xfId="0" applyNumberFormat="1" applyFont="1" applyFill="1" applyAlignment="1">
      <alignment horizontal="center"/>
    </xf>
    <xf numFmtId="3" fontId="0" fillId="4" borderId="0" xfId="0" applyNumberFormat="1" applyFill="1" applyAlignment="1">
      <alignment horizontal="center" vertical="center"/>
    </xf>
    <xf numFmtId="3" fontId="0" fillId="4" borderId="0" xfId="1" applyNumberFormat="1" applyFont="1" applyFill="1" applyAlignment="1">
      <alignment horizontal="center" vertical="center"/>
    </xf>
    <xf numFmtId="0" fontId="3" fillId="4" borderId="0" xfId="0" applyFont="1" applyFill="1" applyAlignment="1">
      <alignment horizontal="center"/>
    </xf>
    <xf numFmtId="170" fontId="4" fillId="4" borderId="0" xfId="1" applyNumberFormat="1" applyFont="1" applyFill="1" applyAlignment="1">
      <alignment horizontal="center"/>
    </xf>
    <xf numFmtId="169" fontId="5" fillId="4" borderId="0" xfId="0" applyNumberFormat="1" applyFont="1" applyFill="1"/>
    <xf numFmtId="0" fontId="0" fillId="4" borderId="0" xfId="0" applyFont="1" applyFill="1" applyAlignment="1">
      <alignment horizontal="center"/>
    </xf>
    <xf numFmtId="3" fontId="0" fillId="4" borderId="0" xfId="0" applyNumberFormat="1" applyFont="1" applyFill="1" applyAlignment="1">
      <alignment horizontal="center"/>
    </xf>
    <xf numFmtId="3" fontId="0" fillId="4" borderId="0" xfId="0" applyNumberFormat="1" applyFont="1" applyFill="1"/>
    <xf numFmtId="3" fontId="0" fillId="4" borderId="0" xfId="2" applyNumberFormat="1" applyFont="1" applyFill="1"/>
    <xf numFmtId="170" fontId="0" fillId="4" borderId="0" xfId="0" applyNumberFormat="1" applyFill="1" applyAlignment="1">
      <alignment horizontal="center"/>
    </xf>
    <xf numFmtId="164" fontId="0" fillId="4" borderId="0" xfId="0" applyNumberFormat="1" applyFill="1" applyAlignment="1">
      <alignment horizontal="center"/>
    </xf>
    <xf numFmtId="164" fontId="3" fillId="4" borderId="0" xfId="0" applyNumberFormat="1" applyFont="1" applyFill="1" applyAlignment="1">
      <alignment horizontal="center"/>
    </xf>
    <xf numFmtId="3" fontId="1" fillId="4" borderId="0" xfId="1" applyNumberFormat="1" applyFont="1" applyFill="1" applyAlignment="1">
      <alignment horizontal="center"/>
    </xf>
    <xf numFmtId="3" fontId="1" fillId="0" borderId="0" xfId="1" applyNumberFormat="1" applyFont="1" applyAlignment="1">
      <alignment horizontal="center"/>
    </xf>
    <xf numFmtId="3" fontId="5" fillId="4" borderId="0" xfId="0" applyNumberFormat="1" applyFont="1" applyFill="1" applyAlignment="1">
      <alignment horizontal="center"/>
    </xf>
    <xf numFmtId="170" fontId="0" fillId="5" borderId="0" xfId="1" applyNumberFormat="1" applyFont="1" applyFill="1" applyAlignment="1">
      <alignment horizontal="center"/>
    </xf>
    <xf numFmtId="170" fontId="1" fillId="5" borderId="0" xfId="1" applyNumberFormat="1" applyFont="1" applyFill="1" applyAlignment="1">
      <alignment horizontal="center"/>
    </xf>
    <xf numFmtId="0" fontId="3" fillId="5" borderId="0" xfId="0" applyFont="1" applyFill="1" applyAlignment="1">
      <alignment horizontal="center"/>
    </xf>
    <xf numFmtId="170" fontId="0" fillId="5" borderId="0" xfId="0" applyNumberFormat="1" applyFill="1" applyAlignment="1">
      <alignment horizontal="center"/>
    </xf>
    <xf numFmtId="164" fontId="0" fillId="5" borderId="0" xfId="0" applyNumberFormat="1" applyFill="1" applyAlignment="1">
      <alignment horizontal="center"/>
    </xf>
    <xf numFmtId="3" fontId="7" fillId="5" borderId="0" xfId="0" applyNumberFormat="1" applyFont="1" applyFill="1" applyAlignment="1">
      <alignment horizontal="center"/>
    </xf>
    <xf numFmtId="170" fontId="3" fillId="5" borderId="0" xfId="1" applyNumberFormat="1" applyFont="1" applyFill="1" applyAlignment="1">
      <alignment horizontal="center"/>
    </xf>
    <xf numFmtId="3" fontId="3" fillId="5" borderId="0" xfId="2" applyNumberFormat="1" applyFont="1" applyFill="1" applyAlignment="1">
      <alignment horizontal="center"/>
    </xf>
    <xf numFmtId="3" fontId="4" fillId="5" borderId="0" xfId="0" applyNumberFormat="1" applyFont="1" applyFill="1"/>
    <xf numFmtId="0" fontId="2" fillId="3" borderId="0" xfId="0" applyFont="1" applyFill="1" applyAlignment="1">
      <alignment wrapText="1"/>
    </xf>
    <xf numFmtId="3" fontId="3" fillId="0" borderId="0" xfId="2" applyNumberFormat="1" applyFont="1" applyAlignment="1"/>
    <xf numFmtId="3" fontId="3" fillId="4" borderId="0" xfId="2" applyNumberFormat="1" applyFont="1" applyFill="1" applyAlignment="1"/>
    <xf numFmtId="3" fontId="3" fillId="0" borderId="0" xfId="0" applyNumberFormat="1" applyFont="1" applyAlignment="1"/>
    <xf numFmtId="3" fontId="3" fillId="4" borderId="0" xfId="0" applyNumberFormat="1" applyFont="1" applyFill="1" applyAlignment="1"/>
    <xf numFmtId="3" fontId="3" fillId="0" borderId="0" xfId="2" applyNumberFormat="1" applyFont="1" applyFill="1" applyAlignment="1"/>
    <xf numFmtId="3" fontId="3" fillId="5" borderId="0" xfId="2" applyNumberFormat="1" applyFont="1" applyFill="1" applyAlignment="1"/>
    <xf numFmtId="3" fontId="3" fillId="5" borderId="0" xfId="0" applyNumberFormat="1" applyFont="1" applyFill="1" applyAlignment="1"/>
    <xf numFmtId="0" fontId="3" fillId="0" borderId="0" xfId="0" applyFont="1" applyAlignment="1"/>
    <xf numFmtId="172" fontId="3" fillId="0" borderId="0" xfId="2" applyNumberFormat="1" applyFont="1" applyAlignment="1"/>
    <xf numFmtId="3" fontId="0" fillId="0" borderId="0" xfId="0" applyNumberFormat="1" applyAlignment="1"/>
    <xf numFmtId="0" fontId="0" fillId="0" borderId="0" xfId="0" applyAlignment="1"/>
    <xf numFmtId="164" fontId="0" fillId="5" borderId="0" xfId="1" applyNumberFormat="1" applyFont="1" applyFill="1" applyAlignment="1">
      <alignment horizontal="center"/>
    </xf>
    <xf numFmtId="10" fontId="0" fillId="5" borderId="0" xfId="2" applyNumberFormat="1" applyFont="1" applyFill="1" applyAlignment="1">
      <alignment horizontal="center"/>
    </xf>
    <xf numFmtId="3" fontId="6" fillId="0" borderId="0" xfId="0" applyNumberFormat="1" applyFont="1" applyFill="1" applyAlignment="1">
      <alignment horizontal="center"/>
    </xf>
    <xf numFmtId="0" fontId="0" fillId="0" borderId="0" xfId="0" applyFill="1"/>
    <xf numFmtId="3" fontId="5" fillId="0" borderId="0" xfId="2" applyNumberFormat="1" applyFont="1" applyAlignment="1">
      <alignment horizontal="center"/>
    </xf>
    <xf numFmtId="3" fontId="5" fillId="4" borderId="0" xfId="2" applyNumberFormat="1" applyFont="1" applyFill="1" applyAlignment="1">
      <alignment horizontal="center"/>
    </xf>
    <xf numFmtId="3" fontId="3" fillId="0" borderId="0" xfId="0" applyNumberFormat="1" applyFont="1" applyFill="1" applyAlignment="1"/>
    <xf numFmtId="3" fontId="0" fillId="4" borderId="0" xfId="0" applyNumberFormat="1" applyFill="1" applyAlignment="1"/>
    <xf numFmtId="3" fontId="0" fillId="5" borderId="0" xfId="0" applyNumberFormat="1" applyFill="1" applyAlignment="1"/>
    <xf numFmtId="3" fontId="0" fillId="4" borderId="0" xfId="2" applyNumberFormat="1" applyFont="1" applyFill="1" applyAlignment="1"/>
    <xf numFmtId="173" fontId="3" fillId="0" borderId="0" xfId="2" applyNumberFormat="1" applyFont="1" applyAlignment="1"/>
    <xf numFmtId="10" fontId="3" fillId="0" borderId="0" xfId="2" applyNumberFormat="1" applyFont="1" applyAlignment="1"/>
    <xf numFmtId="2" fontId="0" fillId="5" borderId="0" xfId="0" applyNumberFormat="1" applyFill="1" applyAlignment="1">
      <alignment horizontal="center"/>
    </xf>
    <xf numFmtId="0" fontId="0" fillId="0" borderId="0" xfId="0" applyFill="1" applyAlignment="1">
      <alignment horizontal="left" wrapText="1"/>
    </xf>
    <xf numFmtId="3" fontId="3" fillId="5" borderId="0" xfId="2" applyNumberFormat="1" applyFont="1" applyFill="1" applyAlignment="1">
      <alignment horizontal="right"/>
    </xf>
    <xf numFmtId="164" fontId="0" fillId="5" borderId="0" xfId="1" applyNumberFormat="1" applyFont="1" applyFill="1" applyAlignment="1"/>
    <xf numFmtId="173" fontId="0" fillId="5" borderId="0" xfId="2" applyNumberFormat="1" applyFont="1" applyFill="1" applyAlignment="1">
      <alignment horizontal="center"/>
    </xf>
    <xf numFmtId="172" fontId="5" fillId="5" borderId="0" xfId="2" applyNumberFormat="1" applyFont="1" applyFill="1"/>
    <xf numFmtId="170" fontId="0" fillId="5" borderId="0" xfId="1" applyNumberFormat="1" applyFont="1" applyFill="1" applyAlignment="1">
      <alignment horizontal="center" vertical="center"/>
    </xf>
    <xf numFmtId="3" fontId="5" fillId="5" borderId="0" xfId="0" applyNumberFormat="1" applyFont="1" applyFill="1" applyAlignment="1"/>
    <xf numFmtId="0" fontId="12" fillId="0" borderId="0" xfId="0" applyFont="1"/>
    <xf numFmtId="0" fontId="13" fillId="0" borderId="3" xfId="0" applyFont="1" applyBorder="1" applyAlignment="1">
      <alignment horizontal="left" wrapText="1"/>
    </xf>
    <xf numFmtId="0" fontId="13" fillId="0" borderId="3" xfId="0" applyFont="1" applyBorder="1"/>
    <xf numFmtId="0" fontId="11" fillId="3" borderId="2" xfId="0" applyFont="1" applyFill="1" applyBorder="1" applyAlignment="1">
      <alignment horizontal="center" wrapText="1"/>
    </xf>
    <xf numFmtId="0" fontId="11" fillId="3" borderId="2" xfId="0" applyFont="1" applyFill="1" applyBorder="1" applyAlignment="1">
      <alignment horizontal="left" wrapText="1"/>
    </xf>
    <xf numFmtId="0" fontId="12" fillId="0" borderId="2" xfId="0" applyFont="1" applyBorder="1" applyAlignment="1">
      <alignment horizontal="center"/>
    </xf>
    <xf numFmtId="0" fontId="13" fillId="0" borderId="2" xfId="0" applyFont="1" applyBorder="1" applyAlignment="1">
      <alignment horizontal="left" wrapText="1"/>
    </xf>
    <xf numFmtId="0" fontId="12" fillId="0" borderId="2" xfId="0" applyFont="1" applyBorder="1" applyAlignment="1">
      <alignment wrapText="1"/>
    </xf>
    <xf numFmtId="0" fontId="12" fillId="0" borderId="2" xfId="0" applyFont="1" applyBorder="1" applyAlignment="1">
      <alignment horizontal="left" wrapText="1"/>
    </xf>
    <xf numFmtId="0" fontId="12" fillId="0" borderId="2" xfId="0" applyFont="1" applyBorder="1"/>
    <xf numFmtId="0" fontId="14" fillId="0" borderId="2" xfId="0" applyFont="1" applyBorder="1" applyAlignment="1">
      <alignment wrapText="1"/>
    </xf>
    <xf numFmtId="0" fontId="11" fillId="3" borderId="0" xfId="0" applyFont="1" applyFill="1" applyAlignment="1">
      <alignment horizontal="center" wrapText="1"/>
    </xf>
    <xf numFmtId="0" fontId="11" fillId="3" borderId="0" xfId="0" applyFont="1" applyFill="1" applyAlignment="1">
      <alignment horizontal="left" wrapText="1"/>
    </xf>
    <xf numFmtId="164" fontId="11" fillId="3" borderId="0" xfId="1" applyNumberFormat="1" applyFont="1" applyFill="1" applyAlignment="1">
      <alignment horizontal="center" wrapText="1"/>
    </xf>
    <xf numFmtId="0" fontId="11" fillId="3" borderId="0" xfId="0" applyFont="1" applyFill="1" applyAlignment="1">
      <alignment horizontal="center" vertical="center" wrapText="1"/>
    </xf>
    <xf numFmtId="0" fontId="11" fillId="3" borderId="0" xfId="0" applyFont="1" applyFill="1" applyAlignment="1">
      <alignment wrapText="1"/>
    </xf>
    <xf numFmtId="0" fontId="12" fillId="0" borderId="0" xfId="0" applyFont="1" applyAlignment="1">
      <alignment horizontal="center" wrapText="1"/>
    </xf>
    <xf numFmtId="0" fontId="12" fillId="0" borderId="0" xfId="0" applyFont="1" applyAlignment="1">
      <alignment horizontal="center"/>
    </xf>
    <xf numFmtId="3" fontId="12" fillId="0" borderId="0" xfId="0" applyNumberFormat="1" applyFont="1"/>
    <xf numFmtId="173" fontId="12" fillId="0" borderId="0" xfId="2" applyNumberFormat="1" applyFont="1"/>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wrapText="1"/>
    </xf>
    <xf numFmtId="3" fontId="12" fillId="0" borderId="0" xfId="0" applyNumberFormat="1" applyFont="1" applyAlignment="1"/>
    <xf numFmtId="0" fontId="12" fillId="0" borderId="0" xfId="0" applyFont="1" applyAlignment="1"/>
    <xf numFmtId="0" fontId="12" fillId="0" borderId="2" xfId="0" applyFont="1" applyBorder="1" applyAlignment="1">
      <alignment vertical="center" wrapText="1"/>
    </xf>
    <xf numFmtId="0" fontId="15" fillId="0" borderId="0" xfId="0" applyFont="1" applyAlignment="1">
      <alignment horizontal="center" wrapText="1"/>
    </xf>
    <xf numFmtId="164" fontId="12" fillId="0" borderId="0" xfId="1" applyNumberFormat="1" applyFont="1" applyAlignment="1"/>
    <xf numFmtId="3" fontId="12" fillId="0" borderId="0" xfId="1" applyNumberFormat="1" applyFont="1" applyAlignment="1"/>
    <xf numFmtId="3" fontId="13" fillId="0" borderId="0" xfId="0" applyNumberFormat="1" applyFont="1" applyAlignment="1"/>
    <xf numFmtId="0" fontId="11" fillId="3" borderId="0" xfId="0" applyFont="1" applyFill="1" applyAlignment="1">
      <alignment horizontal="left" vertical="center" wrapText="1"/>
    </xf>
    <xf numFmtId="164" fontId="11" fillId="3" borderId="0" xfId="1" applyNumberFormat="1" applyFont="1" applyFill="1" applyAlignment="1">
      <alignment horizontal="left" vertical="center" wrapText="1"/>
    </xf>
    <xf numFmtId="3" fontId="11" fillId="3" borderId="0" xfId="0" applyNumberFormat="1" applyFont="1" applyFill="1" applyAlignment="1">
      <alignment horizontal="left" vertical="center" wrapText="1"/>
    </xf>
    <xf numFmtId="169" fontId="12" fillId="0" borderId="0" xfId="0" applyNumberFormat="1" applyFont="1" applyAlignment="1"/>
    <xf numFmtId="3" fontId="13" fillId="0" borderId="0" xfId="0" applyNumberFormat="1" applyFont="1" applyFill="1" applyAlignment="1"/>
    <xf numFmtId="164" fontId="11" fillId="3" borderId="0" xfId="1" applyNumberFormat="1" applyFont="1" applyFill="1" applyAlignment="1">
      <alignment horizontal="left" wrapText="1"/>
    </xf>
    <xf numFmtId="3" fontId="11" fillId="3" borderId="0" xfId="0" applyNumberFormat="1" applyFont="1" applyFill="1" applyAlignment="1">
      <alignment horizontal="left" wrapText="1"/>
    </xf>
    <xf numFmtId="4" fontId="11" fillId="3" borderId="0" xfId="0" applyNumberFormat="1" applyFont="1" applyFill="1" applyAlignment="1">
      <alignment horizontal="left" wrapText="1"/>
    </xf>
    <xf numFmtId="4" fontId="12" fillId="0" borderId="0" xfId="0" applyNumberFormat="1" applyFont="1" applyAlignment="1"/>
    <xf numFmtId="0" fontId="11" fillId="3" borderId="0" xfId="0" applyFont="1" applyFill="1" applyAlignment="1">
      <alignment horizontal="right" wrapText="1"/>
    </xf>
    <xf numFmtId="3" fontId="12" fillId="0" borderId="0" xfId="0" applyNumberFormat="1" applyFont="1" applyFill="1" applyAlignment="1"/>
    <xf numFmtId="0" fontId="16" fillId="3" borderId="3" xfId="0" applyFont="1" applyFill="1" applyBorder="1" applyAlignment="1">
      <alignment horizontal="left" wrapText="1"/>
    </xf>
    <xf numFmtId="0" fontId="13" fillId="0" borderId="0" xfId="0" applyFont="1"/>
    <xf numFmtId="0" fontId="13" fillId="0" borderId="3" xfId="0" applyFont="1" applyBorder="1" applyAlignment="1">
      <alignment horizontal="center"/>
    </xf>
    <xf numFmtId="0" fontId="13" fillId="0" borderId="3" xfId="3" applyFont="1" applyBorder="1"/>
    <xf numFmtId="0" fontId="17" fillId="0" borderId="3" xfId="3" applyFont="1" applyBorder="1"/>
    <xf numFmtId="0" fontId="13" fillId="0" borderId="3" xfId="0" applyFont="1" applyBorder="1" applyAlignment="1">
      <alignment horizontal="left"/>
    </xf>
    <xf numFmtId="0" fontId="18" fillId="0" borderId="3" xfId="3" applyFont="1" applyBorder="1"/>
    <xf numFmtId="0" fontId="17" fillId="0" borderId="0" xfId="3" applyFont="1" applyFill="1"/>
    <xf numFmtId="0" fontId="13" fillId="0" borderId="3" xfId="0" applyFont="1" applyFill="1" applyBorder="1" applyAlignment="1">
      <alignment horizontal="left" wrapText="1"/>
    </xf>
    <xf numFmtId="0" fontId="13" fillId="0" borderId="3" xfId="0" applyFont="1" applyBorder="1" applyAlignment="1">
      <alignment wrapText="1"/>
    </xf>
    <xf numFmtId="0" fontId="15" fillId="0" borderId="0" xfId="0" applyFont="1"/>
    <xf numFmtId="0" fontId="12" fillId="0" borderId="2" xfId="0" applyFont="1" applyFill="1" applyBorder="1" applyAlignment="1">
      <alignment horizontal="center"/>
    </xf>
    <xf numFmtId="0" fontId="12" fillId="0" borderId="2" xfId="0" applyFont="1" applyFill="1" applyBorder="1" applyAlignment="1">
      <alignment horizontal="left" wrapText="1"/>
    </xf>
    <xf numFmtId="0" fontId="12" fillId="0" borderId="2" xfId="0" applyFont="1" applyFill="1" applyBorder="1" applyAlignment="1">
      <alignment horizontal="left"/>
    </xf>
    <xf numFmtId="0" fontId="12" fillId="0" borderId="2" xfId="0" applyFont="1" applyFill="1" applyBorder="1"/>
    <xf numFmtId="0" fontId="15" fillId="0" borderId="0" xfId="0" applyFont="1" applyFill="1" applyBorder="1" applyAlignment="1">
      <alignment horizontal="left" wrapText="1"/>
    </xf>
    <xf numFmtId="0" fontId="12" fillId="0" borderId="0" xfId="0" applyFont="1" applyAlignment="1">
      <alignment horizontal="left" wrapText="1"/>
    </xf>
    <xf numFmtId="0" fontId="11" fillId="3" borderId="3" xfId="0" applyFont="1" applyFill="1" applyBorder="1" applyAlignment="1">
      <alignment horizontal="center" wrapText="1"/>
    </xf>
    <xf numFmtId="0" fontId="11" fillId="3" borderId="3" xfId="0" applyFont="1" applyFill="1" applyBorder="1" applyAlignment="1">
      <alignment horizontal="left" wrapText="1"/>
    </xf>
    <xf numFmtId="3" fontId="12" fillId="0" borderId="0" xfId="1" applyNumberFormat="1" applyFont="1" applyFill="1" applyAlignment="1"/>
    <xf numFmtId="0" fontId="16" fillId="0" borderId="0" xfId="0" applyFont="1"/>
    <xf numFmtId="0" fontId="12" fillId="7" borderId="0" xfId="0" applyFont="1" applyFill="1"/>
    <xf numFmtId="0" fontId="12" fillId="8" borderId="0" xfId="0" applyFont="1" applyFill="1"/>
    <xf numFmtId="0" fontId="12" fillId="0" borderId="1" xfId="0" applyFont="1" applyBorder="1" applyAlignment="1">
      <alignment horizontal="center"/>
    </xf>
    <xf numFmtId="0" fontId="13" fillId="0" borderId="1" xfId="0" applyFont="1" applyBorder="1" applyAlignment="1">
      <alignment horizontal="left" wrapText="1"/>
    </xf>
    <xf numFmtId="0" fontId="13" fillId="0" borderId="1" xfId="0" applyFont="1" applyFill="1" applyBorder="1" applyAlignment="1">
      <alignment horizontal="center"/>
    </xf>
    <xf numFmtId="3" fontId="13" fillId="7" borderId="1" xfId="0" applyNumberFormat="1" applyFont="1" applyFill="1" applyBorder="1" applyAlignment="1">
      <alignment horizontal="center"/>
    </xf>
    <xf numFmtId="3" fontId="13" fillId="7" borderId="1" xfId="1" applyNumberFormat="1" applyFont="1" applyFill="1" applyBorder="1" applyAlignment="1"/>
    <xf numFmtId="169" fontId="13" fillId="7" borderId="1" xfId="1" applyNumberFormat="1" applyFont="1" applyFill="1" applyBorder="1" applyAlignment="1"/>
    <xf numFmtId="3" fontId="13" fillId="6" borderId="1" xfId="1" applyNumberFormat="1" applyFont="1" applyFill="1" applyBorder="1" applyAlignment="1"/>
    <xf numFmtId="169" fontId="13" fillId="6" borderId="1" xfId="0" applyNumberFormat="1" applyFont="1" applyFill="1" applyBorder="1" applyAlignment="1"/>
    <xf numFmtId="169" fontId="13" fillId="6" borderId="1" xfId="1" applyNumberFormat="1" applyFont="1" applyFill="1" applyBorder="1" applyAlignment="1"/>
    <xf numFmtId="4" fontId="13" fillId="6" borderId="1" xfId="0" applyNumberFormat="1" applyFont="1" applyFill="1" applyBorder="1" applyAlignment="1"/>
    <xf numFmtId="169" fontId="13" fillId="7" borderId="1" xfId="0" applyNumberFormat="1" applyFont="1" applyFill="1" applyBorder="1" applyAlignment="1"/>
    <xf numFmtId="3" fontId="13" fillId="7" borderId="1" xfId="0" applyNumberFormat="1" applyFont="1" applyFill="1" applyBorder="1" applyAlignment="1"/>
    <xf numFmtId="173" fontId="13" fillId="7" borderId="1" xfId="2" applyNumberFormat="1" applyFont="1" applyFill="1" applyBorder="1" applyAlignment="1"/>
    <xf numFmtId="4" fontId="13" fillId="7" borderId="1" xfId="1" applyNumberFormat="1" applyFont="1" applyFill="1" applyBorder="1" applyAlignment="1"/>
    <xf numFmtId="4" fontId="13" fillId="7" borderId="1" xfId="0" applyNumberFormat="1" applyFont="1" applyFill="1" applyBorder="1" applyAlignment="1"/>
    <xf numFmtId="169" fontId="13" fillId="7" borderId="1" xfId="2" applyNumberFormat="1" applyFont="1" applyFill="1" applyBorder="1" applyAlignment="1"/>
    <xf numFmtId="4" fontId="13" fillId="7" borderId="1" xfId="2" applyNumberFormat="1" applyFont="1" applyFill="1" applyBorder="1" applyAlignment="1">
      <alignment horizontal="center"/>
    </xf>
    <xf numFmtId="4" fontId="13" fillId="7" borderId="1" xfId="2" applyNumberFormat="1" applyFont="1" applyFill="1" applyBorder="1" applyAlignment="1"/>
    <xf numFmtId="0" fontId="12" fillId="0" borderId="1" xfId="0" applyFont="1" applyBorder="1" applyAlignment="1">
      <alignment horizontal="left" wrapText="1"/>
    </xf>
    <xf numFmtId="3" fontId="13" fillId="6" borderId="1" xfId="0" applyNumberFormat="1" applyFont="1" applyFill="1" applyBorder="1" applyAlignment="1">
      <alignment horizontal="center"/>
    </xf>
    <xf numFmtId="3" fontId="13" fillId="6" borderId="1" xfId="0" applyNumberFormat="1" applyFont="1" applyFill="1" applyBorder="1" applyAlignment="1"/>
    <xf numFmtId="173" fontId="13" fillId="6" borderId="1" xfId="2" applyNumberFormat="1" applyFont="1" applyFill="1" applyBorder="1" applyAlignment="1"/>
    <xf numFmtId="4" fontId="13" fillId="6" borderId="1" xfId="1" applyNumberFormat="1" applyFont="1" applyFill="1" applyBorder="1" applyAlignment="1"/>
    <xf numFmtId="169" fontId="13" fillId="6" borderId="1" xfId="2" applyNumberFormat="1" applyFont="1" applyFill="1" applyBorder="1" applyAlignment="1"/>
    <xf numFmtId="4" fontId="13" fillId="6" borderId="1" xfId="2" applyNumberFormat="1" applyFont="1" applyFill="1" applyBorder="1" applyAlignment="1">
      <alignment horizontal="center"/>
    </xf>
    <xf numFmtId="4" fontId="13" fillId="6" borderId="1" xfId="2" applyNumberFormat="1" applyFont="1" applyFill="1" applyBorder="1" applyAlignment="1"/>
    <xf numFmtId="167" fontId="13" fillId="6" borderId="1" xfId="2" applyNumberFormat="1" applyFont="1" applyFill="1" applyBorder="1" applyAlignment="1"/>
    <xf numFmtId="174" fontId="13" fillId="7" borderId="1" xfId="0" applyNumberFormat="1" applyFont="1" applyFill="1" applyBorder="1" applyAlignment="1"/>
    <xf numFmtId="3" fontId="13" fillId="0" borderId="1" xfId="1" applyNumberFormat="1" applyFont="1" applyFill="1" applyBorder="1" applyAlignment="1"/>
    <xf numFmtId="0" fontId="13" fillId="0" borderId="1" xfId="0" applyFont="1" applyBorder="1"/>
    <xf numFmtId="0" fontId="12" fillId="0" borderId="1" xfId="0" applyFont="1" applyBorder="1" applyAlignment="1">
      <alignment horizontal="left"/>
    </xf>
    <xf numFmtId="3" fontId="13" fillId="0" borderId="1" xfId="1" applyNumberFormat="1" applyFont="1" applyFill="1" applyBorder="1" applyAlignment="1">
      <alignment horizontal="right"/>
    </xf>
    <xf numFmtId="0" fontId="12" fillId="0" borderId="1" xfId="0" applyFont="1" applyFill="1" applyBorder="1" applyAlignment="1">
      <alignment horizontal="left" wrapText="1"/>
    </xf>
    <xf numFmtId="0" fontId="14" fillId="0" borderId="1" xfId="0" applyFont="1" applyBorder="1" applyAlignment="1">
      <alignment wrapText="1"/>
    </xf>
    <xf numFmtId="0" fontId="13" fillId="0" borderId="1" xfId="0" applyFont="1" applyFill="1" applyBorder="1" applyAlignment="1"/>
    <xf numFmtId="3" fontId="13" fillId="7" borderId="1" xfId="2" applyNumberFormat="1" applyFont="1" applyFill="1" applyBorder="1" applyAlignment="1"/>
    <xf numFmtId="3" fontId="13" fillId="6" borderId="1" xfId="2" applyNumberFormat="1" applyFont="1" applyFill="1" applyBorder="1" applyAlignment="1"/>
    <xf numFmtId="165" fontId="13" fillId="0" borderId="1" xfId="0" applyNumberFormat="1" applyFont="1" applyFill="1" applyBorder="1" applyAlignment="1"/>
    <xf numFmtId="166" fontId="13" fillId="0" borderId="1" xfId="0" applyNumberFormat="1" applyFont="1" applyFill="1" applyBorder="1" applyAlignment="1"/>
    <xf numFmtId="167" fontId="13" fillId="0" borderId="1" xfId="0" applyNumberFormat="1" applyFont="1" applyFill="1" applyBorder="1" applyAlignment="1"/>
    <xf numFmtId="0" fontId="13" fillId="6" borderId="1" xfId="0" applyFont="1" applyFill="1" applyBorder="1" applyAlignment="1"/>
    <xf numFmtId="10" fontId="13" fillId="6" borderId="1" xfId="2" applyNumberFormat="1" applyFont="1" applyFill="1" applyBorder="1" applyAlignment="1"/>
    <xf numFmtId="164" fontId="13" fillId="6" borderId="1" xfId="1" applyNumberFormat="1" applyFont="1" applyFill="1" applyBorder="1" applyAlignment="1"/>
    <xf numFmtId="3" fontId="13" fillId="7" borderId="1" xfId="1" applyNumberFormat="1" applyFont="1" applyFill="1" applyBorder="1" applyAlignment="1">
      <alignment horizontal="right"/>
    </xf>
    <xf numFmtId="3" fontId="13" fillId="7" borderId="1" xfId="0" applyNumberFormat="1" applyFont="1" applyFill="1" applyBorder="1" applyAlignment="1">
      <alignment vertical="center"/>
    </xf>
    <xf numFmtId="3" fontId="13" fillId="6" borderId="1" xfId="0" applyNumberFormat="1" applyFont="1" applyFill="1" applyBorder="1" applyAlignment="1">
      <alignment vertical="center"/>
    </xf>
    <xf numFmtId="3" fontId="13" fillId="0" borderId="1" xfId="1" applyNumberFormat="1" applyFont="1" applyFill="1" applyBorder="1" applyAlignment="1">
      <alignment wrapText="1"/>
    </xf>
    <xf numFmtId="3" fontId="13" fillId="6" borderId="1" xfId="1" applyNumberFormat="1" applyFont="1" applyFill="1" applyBorder="1" applyAlignment="1">
      <alignment wrapText="1"/>
    </xf>
    <xf numFmtId="0" fontId="13" fillId="7" borderId="1" xfId="0" applyFont="1" applyFill="1" applyBorder="1" applyAlignment="1"/>
    <xf numFmtId="170" fontId="13" fillId="7" borderId="1" xfId="0" applyNumberFormat="1" applyFont="1" applyFill="1" applyBorder="1" applyAlignment="1"/>
    <xf numFmtId="170" fontId="13" fillId="6" borderId="1" xfId="0" applyNumberFormat="1" applyFont="1" applyFill="1" applyBorder="1" applyAlignment="1"/>
    <xf numFmtId="170" fontId="13" fillId="0" borderId="1" xfId="1" applyNumberFormat="1" applyFont="1" applyFill="1" applyBorder="1" applyAlignment="1"/>
    <xf numFmtId="170" fontId="13" fillId="6" borderId="1" xfId="1" applyNumberFormat="1" applyFont="1" applyFill="1" applyBorder="1" applyAlignment="1"/>
    <xf numFmtId="164" fontId="13" fillId="6" borderId="1" xfId="0" applyNumberFormat="1" applyFont="1" applyFill="1" applyBorder="1" applyAlignment="1"/>
    <xf numFmtId="170" fontId="13" fillId="7" borderId="1" xfId="1" applyNumberFormat="1" applyFont="1" applyFill="1" applyBorder="1" applyAlignment="1"/>
    <xf numFmtId="3" fontId="13" fillId="9" borderId="1" xfId="0" applyNumberFormat="1" applyFont="1" applyFill="1" applyBorder="1" applyAlignment="1"/>
    <xf numFmtId="2" fontId="13" fillId="0" borderId="1" xfId="0" applyNumberFormat="1" applyFont="1" applyFill="1" applyBorder="1" applyAlignment="1"/>
    <xf numFmtId="171" fontId="13" fillId="0" borderId="1" xfId="0" applyNumberFormat="1" applyFont="1" applyFill="1" applyBorder="1" applyAlignment="1"/>
    <xf numFmtId="3" fontId="13" fillId="0" borderId="1" xfId="0" applyNumberFormat="1" applyFont="1" applyFill="1" applyBorder="1" applyAlignment="1"/>
    <xf numFmtId="4" fontId="13" fillId="0" borderId="1" xfId="1" applyNumberFormat="1" applyFont="1" applyFill="1" applyBorder="1" applyAlignment="1"/>
    <xf numFmtId="0" fontId="21" fillId="3" borderId="0" xfId="0" applyFont="1" applyFill="1" applyAlignment="1">
      <alignment horizontal="center" wrapText="1"/>
    </xf>
    <xf numFmtId="0" fontId="21" fillId="3" borderId="0" xfId="0" applyFont="1" applyFill="1" applyAlignment="1">
      <alignment horizontal="left" wrapText="1"/>
    </xf>
    <xf numFmtId="0" fontId="21" fillId="3" borderId="0" xfId="0" applyFont="1" applyFill="1" applyAlignment="1">
      <alignment horizontal="left" vertical="center" wrapText="1"/>
    </xf>
    <xf numFmtId="164" fontId="21" fillId="3" borderId="0" xfId="1" applyNumberFormat="1" applyFont="1" applyFill="1" applyAlignment="1">
      <alignment horizontal="left" vertical="center" wrapText="1"/>
    </xf>
    <xf numFmtId="3" fontId="21" fillId="3" borderId="0" xfId="0" applyNumberFormat="1" applyFont="1" applyFill="1" applyAlignment="1">
      <alignment horizontal="left" vertical="center" wrapText="1"/>
    </xf>
    <xf numFmtId="0" fontId="21" fillId="3" borderId="0" xfId="0" applyFont="1" applyFill="1" applyAlignment="1">
      <alignment horizontal="center" vertical="center" wrapText="1"/>
    </xf>
    <xf numFmtId="0" fontId="19" fillId="0" borderId="0" xfId="0" applyFont="1" applyAlignment="1">
      <alignment horizontal="left" vertical="center" wrapText="1"/>
    </xf>
    <xf numFmtId="0" fontId="12" fillId="0" borderId="0" xfId="0" applyFont="1" applyAlignment="1">
      <alignment horizontal="left" wrapText="1"/>
    </xf>
  </cellXfs>
  <cellStyles count="6">
    <cellStyle name="Comma" xfId="1" builtinId="3"/>
    <cellStyle name="Comma 2" xfId="5" xr:uid="{8AAFD026-ADF4-4D7F-93F2-4697E502D5D3}"/>
    <cellStyle name="Comma 3" xfId="4" xr:uid="{BC7F301C-459F-42FC-830B-504C7764C849}"/>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20Lee/Desktop/Airport%20Research/Global%20Airport%20Research%20Database/Airport%20Finance%20Database%20Scope%20of%20Data%2028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
      <sheetName val="Definitions and Formulas"/>
      <sheetName val="Sources- Airport Financials"/>
      <sheetName val="Outputs"/>
      <sheetName val="Base Data"/>
      <sheetName val="North America"/>
      <sheetName val="Assumptions By Airport Operator"/>
      <sheetName val="Central  America plus Mexico"/>
      <sheetName val="Southern Europe"/>
      <sheetName val="Western Europe"/>
      <sheetName val="Oceania"/>
      <sheetName val="Nordic &amp; Baltic"/>
      <sheetName val="East Asia"/>
      <sheetName val="South Asia"/>
      <sheetName val="Africa"/>
      <sheetName val="South America- Brazil Regional"/>
      <sheetName val="Middle East &amp; N Af"/>
      <sheetName val="Central  Europe"/>
      <sheetName val="South America"/>
      <sheetName val="Southeast Asia"/>
      <sheetName val="Russia CIS"/>
      <sheetName val="Caribbean"/>
      <sheetName val="Pacific Islands"/>
      <sheetName val="Chart1"/>
      <sheetName val="Key Metrics"/>
    </sheetNames>
    <sheetDataSet>
      <sheetData sheetId="0"/>
      <sheetData sheetId="1"/>
      <sheetData sheetId="2"/>
      <sheetData sheetId="3"/>
      <sheetData sheetId="4"/>
      <sheetData sheetId="5">
        <row r="141">
          <cell r="AU141">
            <v>32632000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Set>
  </externalBook>
</externalLink>
</file>

<file path=xl/persons/person.xml><?xml version="1.0" encoding="utf-8"?>
<personList xmlns="http://schemas.microsoft.com/office/spreadsheetml/2018/threadedcomments" xmlns:x="http://schemas.openxmlformats.org/spreadsheetml/2006/main">
  <person displayName="Justin Lee" id="{B7C2E036-50D6-41CC-85EC-8BD9C5DA94C4}" userId="df9216582368913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118" dT="2019-07-08T10:52:41.69" personId="{B7C2E036-50D6-41CC-85EC-8BD9C5DA94C4}" id="{B3B44DE9-E7CD-4B8C-BFCE-33CF43B470FB}">
    <text>Avg FTE</text>
  </threadedComment>
  <threadedComment ref="AP130" dT="2019-07-08T10:52:54.98" personId="{B7C2E036-50D6-41CC-85EC-8BD9C5DA94C4}" id="{AF8357F3-B921-41C4-AD81-1CEA1842C723}">
    <text>AverageFTE</text>
  </threadedComment>
  <threadedComment ref="AP132" dT="2019-07-18T03:36:41.00" personId="{B7C2E036-50D6-41CC-85EC-8BD9C5DA94C4}" id="{7854289D-15B7-42B0-9CC3-CF733177F628}">
    <text>Convert to USD</text>
  </threadedComment>
  <threadedComment ref="AB134" dT="2019-07-08T11:31:47.67" personId="{B7C2E036-50D6-41CC-85EC-8BD9C5DA94C4}" id="{0907D01F-0332-4B5C-99F6-A008F27CFA41}">
    <text>Include Advertising</text>
  </threadedComment>
  <threadedComment ref="AP137" dT="2019-07-13T02:09:07.48" personId="{B7C2E036-50D6-41CC-85EC-8BD9C5DA94C4}" id="{96FF4FFD-43E3-4F5C-91ED-1317D4DF5DFB}">
    <text>Average Number</text>
  </threadedComment>
  <threadedComment ref="AP140" dT="2019-07-13T02:08:51.78" personId="{B7C2E036-50D6-41CC-85EC-8BD9C5DA94C4}" id="{59CEED51-2636-45F9-9D83-0F0A84998B5E}">
    <text>Average Number</text>
  </threadedComment>
  <threadedComment ref="AP143" dT="2019-07-09T07:13:05.52" personId="{B7C2E036-50D6-41CC-85EC-8BD9C5DA94C4}" id="{116B8077-6157-43E4-8A56-17482A995B27}">
    <text>Average Number</text>
  </threadedComment>
  <threadedComment ref="AP147" dT="2019-07-09T07:54:35.34" personId="{B7C2E036-50D6-41CC-85EC-8BD9C5DA94C4}" id="{1DB89E38-FA10-477A-937C-905CFD05587E}">
    <text>Monthly Average</text>
  </threadedComment>
  <threadedComment ref="AP148" dT="2019-07-09T10:02:26.84" personId="{B7C2E036-50D6-41CC-85EC-8BD9C5DA94C4}" id="{B27AC9EB-6516-4174-A9A6-E4E214C18AF3}">
    <text>Average Monthly</text>
  </threadedComment>
  <threadedComment ref="AP157" dT="2019-07-12T09:26:33.37" personId="{B7C2E036-50D6-41CC-85EC-8BD9C5DA94C4}" id="{4C2B57F6-ABDF-4AD6-ACD1-B89565F2D564}">
    <text>Full-Time FTE</text>
  </threadedComment>
  <threadedComment ref="AP162" dT="2019-07-10T04:36:49.25" personId="{B7C2E036-50D6-41CC-85EC-8BD9C5DA94C4}" id="{BF62819E-D052-4FB1-B529-5747FD459E4E}">
    <text>Average FTE</text>
  </threadedComment>
  <threadedComment ref="AP165" dT="2019-07-10T05:03:27.14" personId="{B7C2E036-50D6-41CC-85EC-8BD9C5DA94C4}" id="{6AA45936-140A-49A6-BF48-721F6A7C69F6}">
    <text>Average</text>
  </threadedComment>
  <threadedComment ref="AP166" dT="2019-07-12T07:03:24.69" personId="{B7C2E036-50D6-41CC-85EC-8BD9C5DA94C4}" id="{5FA8DA7F-2A1C-4242-A2FD-E19DB6DC6A01}">
    <text>Average Full-Time</text>
  </threadedComment>
  <threadedComment ref="AF180" dT="2019-07-12T05:47:30.36" personId="{B7C2E036-50D6-41CC-85EC-8BD9C5DA94C4}" id="{2DBFFD02-D25B-4B85-9435-8687A8C9CDA5}">
    <text>Average Number</text>
  </threadedComment>
  <threadedComment ref="AF194" dT="2019-07-20T09:03:33.66" personId="{B7C2E036-50D6-41CC-85EC-8BD9C5DA94C4}" id="{37AB9075-4817-43B2-BCA5-5EE1481DC57F}">
    <text>Including ground transport</text>
  </threadedComment>
  <threadedComment ref="AF195" dT="2019-07-20T08:40:43.81" personId="{B7C2E036-50D6-41CC-85EC-8BD9C5DA94C4}" id="{D2DEFD70-6076-4CE2-B7DC-4B8A11140DF1}">
    <text>Include Ground Transport</text>
  </threadedComment>
  <threadedComment ref="AF203" dT="2019-07-20T05:29:30.07" personId="{B7C2E036-50D6-41CC-85EC-8BD9C5DA94C4}" id="{9C6E9A38-80D6-469C-B101-8F8DB738B77A}">
    <text>Including Ground Transportation</text>
  </threadedComment>
  <threadedComment ref="AF204" dT="2019-07-20T05:17:14.58" personId="{B7C2E036-50D6-41CC-85EC-8BD9C5DA94C4}" id="{5B4F4B42-CAAA-42C8-A93F-3A0E9DBC24A0}">
    <text>Include ground transportation</text>
  </threadedComment>
  <threadedComment ref="AF238" dT="2019-07-19T02:33:50.94" personId="{B7C2E036-50D6-41CC-85EC-8BD9C5DA94C4}" id="{96D39F28-437F-48F8-B377-50DC5A540D53}">
    <text>Include Ground Transport</text>
  </threadedComment>
  <threadedComment ref="AF240" dT="2019-07-19T02:33:39.10" personId="{B7C2E036-50D6-41CC-85EC-8BD9C5DA94C4}" id="{23C5DB8E-1DE0-43A1-A624-4B135E1CD2D6}">
    <text>Include Ground Transport</text>
  </threadedComment>
  <threadedComment ref="AF242" dT="2019-07-19T02:33:26.74" personId="{B7C2E036-50D6-41CC-85EC-8BD9C5DA94C4}" id="{795BFFD5-4163-4656-997F-1A4477A4142F}">
    <text>Include Ground Transport</text>
  </threadedComment>
  <threadedComment ref="AF246" dT="2019-07-19T04:57:26.97" personId="{B7C2E036-50D6-41CC-85EC-8BD9C5DA94C4}" id="{22C8E35A-0E9F-456A-9960-92D61C511C11}">
    <text>Include Ground Transport</text>
  </threadedComment>
  <threadedComment ref="AF249" dT="2019-07-19T06:45:30.53" personId="{B7C2E036-50D6-41CC-85EC-8BD9C5DA94C4}" id="{200B9BE1-FF3B-4B8C-A7AD-6F367033D5FA}">
    <text>Including ground transport</text>
  </threadedComment>
  <threadedComment ref="AF253" dT="2019-07-19T09:13:36.88" personId="{B7C2E036-50D6-41CC-85EC-8BD9C5DA94C4}" id="{D97049A5-842F-4D1D-B85E-6EA042E828C6}">
    <text>Includes Ground transportation</text>
  </threadedComment>
  <threadedComment ref="AF256" dT="2019-07-19T13:07:27.08" personId="{B7C2E036-50D6-41CC-85EC-8BD9C5DA94C4}" id="{03544B5A-64AF-43EA-8479-EFDACD0C8BE1}">
    <text>Including ground transport</text>
  </threadedComment>
  <threadedComment ref="AF257" dT="2019-07-20T02:18:01.99" personId="{B7C2E036-50D6-41CC-85EC-8BD9C5DA94C4}" id="{8DB73210-8AE6-4B70-AAD1-5AF1AF8FFAF4}">
    <text>Including ground transportation</text>
  </threadedComment>
  <threadedComment ref="AF259" dT="2019-07-20T02:31:51.50" personId="{B7C2E036-50D6-41CC-85EC-8BD9C5DA94C4}" id="{64D72556-E41D-444E-AAFA-08C9C5ED53D1}">
    <text>Include ground transport</text>
  </threadedComment>
  <threadedComment ref="AF260" dT="2019-07-20T02:46:48.34" personId="{B7C2E036-50D6-41CC-85EC-8BD9C5DA94C4}" id="{331B2D9A-E7BC-44FD-BDC4-990935A34767}">
    <text>Include ground transportation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73" dT="2019-07-25T06:47:09.97" personId="{B7C2E036-50D6-41CC-85EC-8BD9C5DA94C4}" id="{75474E07-9D7D-4B54-9155-E0FB8880CF70}">
    <text>Estimated</text>
  </threadedComment>
  <threadedComment ref="S132" dT="2019-07-08T11:31:47.67" personId="{B7C2E036-50D6-41CC-85EC-8BD9C5DA94C4}" id="{A2AE0284-B392-4E05-A01E-0E3ECE3A63FD}">
    <text>Include Advertising</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adr.it/documents/17615/14928122/ADR_RFA+2018_eng.pdf/c7ab4451-c1d3-44a4-a6a0-5556c8f5b60a" TargetMode="External"/><Relationship Id="rId21" Type="http://schemas.openxmlformats.org/officeDocument/2006/relationships/hyperlink" Target="https://www.maaal.com/archives/20180808/110967" TargetMode="External"/><Relationship Id="rId42" Type="http://schemas.openxmlformats.org/officeDocument/2006/relationships/hyperlink" Target="https://vietnamairport.vn/uploads/main/users/068ad20ed7cde3007891/documents/Quan%20h%E1%BB%87%20c%E1%BB%95%20%C4%91%C3%B4ng/B%C3%A1o%20c%C3%A1o%20t%C3%A0i%20ch%C3%ADnh/2019/C%C3%B4ng%20b%E1%BB%91%20th%C3%B4ng%20tin%20BCTC%20n%C4%83m%202018/Audited%20seperate%20financial%20statements%202018-compressed.pdf" TargetMode="External"/><Relationship Id="rId63" Type="http://schemas.openxmlformats.org/officeDocument/2006/relationships/hyperlink" Target="https://www.naa.jp/jp/ir/pdf/yusho_29.pdf" TargetMode="External"/><Relationship Id="rId84" Type="http://schemas.openxmlformats.org/officeDocument/2006/relationships/hyperlink" Target="http://www.x3news.com/companies/%c3%ce%c4%c8%d8%cd%c8%20%d4%c8%cd%c0%cd%d1%ce%c2%c8%20%ce%d2%d7%c5%d2%c8%202016%20%e3./%cb%e5%f2%e8%f9%e5%20%d1%ee%f4%e8%ff%20%c5%c0%c4/GFO%202016_SA_GDD_2.pdf" TargetMode="External"/><Relationship Id="rId138" Type="http://schemas.openxmlformats.org/officeDocument/2006/relationships/hyperlink" Target="https://www.magairports.com/investor-relations/annual-and-interim-reports/" TargetMode="External"/><Relationship Id="rId159" Type="http://schemas.openxmlformats.org/officeDocument/2006/relationships/hyperlink" Target="https://www.bne.com.au/sites/default/files/docs/BAC-Annual-Report-2018.pdf" TargetMode="External"/><Relationship Id="rId170" Type="http://schemas.openxmlformats.org/officeDocument/2006/relationships/hyperlink" Target="https://corporate.aucklandairport.co.nz/-/media/Files/Corporate/Annual-Report-2018/Annual-Report-2018-Financial-Statements.ashx?la=en&amp;hash=3FD590BBFBB78389CD2DEA7EE8402BCAEC4332E9" TargetMode="External"/><Relationship Id="rId191" Type="http://schemas.openxmlformats.org/officeDocument/2006/relationships/hyperlink" Target="https://www.fraport.com/en/misc/binaer/fraport-group/investors/events-and-publications/annual-reports/AR2018/_jcr_content.file/ar_fraport2018_final_1_20190319.pdf" TargetMode="External"/><Relationship Id="rId205" Type="http://schemas.openxmlformats.org/officeDocument/2006/relationships/hyperlink" Target="http://www.cacsa.cl/pdf/EF_2018_calama.pdf" TargetMode="External"/><Relationship Id="rId226" Type="http://schemas.openxmlformats.org/officeDocument/2006/relationships/hyperlink" Target="http://media.flysfo.com.s3.amazonaws.com/assets/investor/FY18_Audited_Financial_Statements.pdf" TargetMode="External"/><Relationship Id="rId247" Type="http://schemas.openxmlformats.org/officeDocument/2006/relationships/hyperlink" Target="https://www.fukuoka-airport.co.jp/uploads/2019/07/c6e69011e7881c1bc48f9258633c96cf142a1ea5.pdf" TargetMode="External"/><Relationship Id="rId107" Type="http://schemas.openxmlformats.org/officeDocument/2006/relationships/hyperlink" Target="https://www.bts.aero/en/airport/press/annual-report/" TargetMode="External"/><Relationship Id="rId11" Type="http://schemas.openxmlformats.org/officeDocument/2006/relationships/hyperlink" Target="https://www.thecitizen.co.tz/magazine/Aviation-industry-shrinks-as-financial-crunch-bites/1840564-4852902-yro2auz/index.html" TargetMode="External"/><Relationship Id="rId32" Type="http://schemas.openxmlformats.org/officeDocument/2006/relationships/hyperlink" Target="https://ap1.co.id/contents/file/285-AP1_AnnualReport2018_LR.pdf" TargetMode="External"/><Relationship Id="rId53" Type="http://schemas.openxmlformats.org/officeDocument/2006/relationships/hyperlink" Target="https://www.irwebcast.com/cgi-local/report/redirect.cgi?url=https://doc.irasia.com/listco/hk/bcia/annual/2018/ar2018.pdf" TargetMode="External"/><Relationship Id="rId74" Type="http://schemas.openxmlformats.org/officeDocument/2006/relationships/hyperlink" Target="https://www.svo.aero/bitrix/upload/sprint.editor/116/116c084c792049718d89ccfe7fce3a9f.pdf" TargetMode="External"/><Relationship Id="rId128" Type="http://schemas.openxmlformats.org/officeDocument/2006/relationships/hyperlink" Target="https://edinburghairport.s3-eu-west-1.amazonaws.com/files/2019/06/EAL+2018+Signed+Financial+Statements.pdf" TargetMode="External"/><Relationship Id="rId149" Type="http://schemas.openxmlformats.org/officeDocument/2006/relationships/hyperlink" Target="https://www.schiphol.nl/en/schiphol-group/page/annual-reports/" TargetMode="External"/><Relationship Id="rId5" Type="http://schemas.openxmlformats.org/officeDocument/2006/relationships/hyperlink" Target="https://cipmoz.org/wp-content/uploads/2018/08/EMPRESA-AEROPORTOS-DE-MOC%CC%A7AMBIQUE.pdf" TargetMode="External"/><Relationship Id="rId95" Type="http://schemas.openxmlformats.org/officeDocument/2006/relationships/hyperlink" Target="https://www.avialliance.com/avia_en/data/pdf/Corporate_presentation.pdf" TargetMode="External"/><Relationship Id="rId160" Type="http://schemas.openxmlformats.org/officeDocument/2006/relationships/hyperlink" Target="https://www.adelaideairport.com.au/corporate/wp-content/uploads/2019/01/%E2%80%A2-NJ00946-Integrated-Report-FIN2017-18.pdf" TargetMode="External"/><Relationship Id="rId181" Type="http://schemas.openxmlformats.org/officeDocument/2006/relationships/hyperlink" Target="https://cats.airports.faa.gov/" TargetMode="External"/><Relationship Id="rId216" Type="http://schemas.openxmlformats.org/officeDocument/2006/relationships/hyperlink" Target="https://stories.yyc.com/pdf/the-calgary-airport-authority-2018-annual-report.pdf" TargetMode="External"/><Relationship Id="rId237" Type="http://schemas.openxmlformats.org/officeDocument/2006/relationships/hyperlink" Target="https://dallascityhall.com/departments/budget/financialtransparency/AuditedFinancials/CAFR_FY2018.pdf" TargetMode="External"/><Relationship Id="rId22" Type="http://schemas.openxmlformats.org/officeDocument/2006/relationships/hyperlink" Target="https://www.maaal.com/archives/20180808/110967" TargetMode="External"/><Relationship Id="rId43" Type="http://schemas.openxmlformats.org/officeDocument/2006/relationships/hyperlink" Target="http://www.changiairport.com/content/dam/cacorp/publications/Annual%20Reports/2018/CAG%20AR2017-18%20Full.pdf" TargetMode="External"/><Relationship Id="rId64" Type="http://schemas.openxmlformats.org/officeDocument/2006/relationships/hyperlink" Target="http://www.kansai-airports.co.jp/company-profile/ir/file/financialresult_04.pdf" TargetMode="External"/><Relationship Id="rId118" Type="http://schemas.openxmlformats.org/officeDocument/2006/relationships/hyperlink" Target="http://www.seamilano.eu/sites/sea14.message-asp.com/files/docs/sea_annual_report_2018_eng_0.pdf" TargetMode="External"/><Relationship Id="rId139" Type="http://schemas.openxmlformats.org/officeDocument/2006/relationships/hyperlink" Target="https://www.stobartgroup.co.uk/wp-content/uploads/2019/06/31087_Stobart_AR_Web.pdf" TargetMode="External"/><Relationship Id="rId85" Type="http://schemas.openxmlformats.org/officeDocument/2006/relationships/hyperlink" Target="https://www.romania-insider.com/bucharest-airports-company-revenues/" TargetMode="External"/><Relationship Id="rId150" Type="http://schemas.openxmlformats.org/officeDocument/2006/relationships/hyperlink" Target="https://miamain.blob.core.windows.net/wp-uploads/wp-content/uploads/2019/04/Business-Report-2018.pdf" TargetMode="External"/><Relationship Id="rId171" Type="http://schemas.openxmlformats.org/officeDocument/2006/relationships/hyperlink" Target="https://dunedinairport.co.nz/assets/Dunedin-Annual-Report-2018-FINAL-with-Audit-Report.pdf" TargetMode="External"/><Relationship Id="rId192" Type="http://schemas.openxmlformats.org/officeDocument/2006/relationships/hyperlink" Target="http://www.corpac.gob.pe/Docs/Memorias_CORPAC/memoria2018.pdf" TargetMode="External"/><Relationship Id="rId206" Type="http://schemas.openxmlformats.org/officeDocument/2006/relationships/hyperlink" Target="http://www.aeropuertoatacama.cl/files/MEMORIA--ATACAMA-2018.pdf" TargetMode="External"/><Relationship Id="rId227" Type="http://schemas.openxmlformats.org/officeDocument/2006/relationships/hyperlink" Target="https://www.portseattle.org/sites/default/files/2019-06/2018%20POS%20CAFR%20FINAL.pdf" TargetMode="External"/><Relationship Id="rId248" Type="http://schemas.openxmlformats.org/officeDocument/2006/relationships/hyperlink" Target="http://mahb.listedcompany.com/misc/presentation/2018/4Q18_Analyst_Briefing_28022019.pdf" TargetMode="External"/><Relationship Id="rId12" Type="http://schemas.openxmlformats.org/officeDocument/2006/relationships/hyperlink" Target="https://www.zacl.co.zm/application/files/5315/5290/0225/2017_Annual_Report.pdf" TargetMode="External"/><Relationship Id="rId17" Type="http://schemas.openxmlformats.org/officeDocument/2006/relationships/hyperlink" Target="http://www.cbs.gov.il/reader/cw_usr_view_SHTML?ID=435" TargetMode="External"/><Relationship Id="rId33" Type="http://schemas.openxmlformats.org/officeDocument/2006/relationships/hyperlink" Target="https://cms.angkasapura2.co.id/NUWEB_PUBLIC_FILES/angkasapura2/Annual_01_05_2019__10_15_07.pdf" TargetMode="External"/><Relationship Id="rId38" Type="http://schemas.openxmlformats.org/officeDocument/2006/relationships/hyperlink" Target="http://crk.clarkairport.com/downloads/annual-report/annual-report-2017.pdf" TargetMode="External"/><Relationship Id="rId59" Type="http://schemas.openxmlformats.org/officeDocument/2006/relationships/hyperlink" Target="https://www.taoyuanairport.com.tw/uploads/20190611/20190611102231_%E6%A9%9F%E5%A0%B4107%E5%B9%B4%E5%A0%B1.pdf" TargetMode="External"/><Relationship Id="rId103" Type="http://schemas.openxmlformats.org/officeDocument/2006/relationships/hyperlink" Target="https://www.fraport.com/en/misc/binaer/fraport-group/investors/events-and-publications/annual-reports/AR2018/_jcr_content.file/ar_fraport2018_final_1_20190319.pdf" TargetMode="External"/><Relationship Id="rId108" Type="http://schemas.openxmlformats.org/officeDocument/2006/relationships/hyperlink" Target="https://linktopoland.com/en/polish-airports-state-enterprise-ppl-record-financial-result/" TargetMode="External"/><Relationship Id="rId124" Type="http://schemas.openxmlformats.org/officeDocument/2006/relationships/hyperlink" Target="https://www.birminghamairport.co.uk/media/4906/2017-18-bah-annual-report-and-accounts-website.pdf" TargetMode="External"/><Relationship Id="rId129" Type="http://schemas.openxmlformats.org/officeDocument/2006/relationships/hyperlink" Target="https://www.glasgowprestwick.com/wp-content/uploads/2017/01/TS-HoldCo-Annual-Accounts-2015-16-FINAL-SIGNED.pdf" TargetMode="External"/><Relationship Id="rId54" Type="http://schemas.openxmlformats.org/officeDocument/2006/relationships/hyperlink" Target="http://www.shclearing.com/xxpl/cwbg/nb/201904/t20190429_514222.html" TargetMode="External"/><Relationship Id="rId70" Type="http://schemas.openxmlformats.org/officeDocument/2006/relationships/hyperlink" Target="https://www.vedomosti.ru/finance/articles/2018/10/15/783616-sberbank-ostanetsya" TargetMode="External"/><Relationship Id="rId75" Type="http://schemas.openxmlformats.org/officeDocument/2006/relationships/hyperlink" Target="http://www.e-disclosure.ru/portal/FileLoad.ashx?Fileid=1353628" TargetMode="External"/><Relationship Id="rId91" Type="http://schemas.openxmlformats.org/officeDocument/2006/relationships/hyperlink" Target="http://www.tavyatirimciiliskileri.com/en-EN/Lists/Financial%20Statement/Attachments/109/TAVHL_12M18_Announcement_13Feb2019.pdf" TargetMode="External"/><Relationship Id="rId96" Type="http://schemas.openxmlformats.org/officeDocument/2006/relationships/hyperlink" Target="https://www.viennaairport.com/jart/prj3/va/uploads/data-uploads/Konzern/Investor%20Relations/Geschaeftsberichte/GB_2018_EN.pdf" TargetMode="External"/><Relationship Id="rId140" Type="http://schemas.openxmlformats.org/officeDocument/2006/relationships/hyperlink" Target="http://www.rigbygroupplc.com/news/record-rigby-group-delivers-best-ever-results/" TargetMode="External"/><Relationship Id="rId145" Type="http://schemas.openxmlformats.org/officeDocument/2006/relationships/hyperlink" Target="http://www.aena.es/csee/Satellite/Accionistas/en/Page/1237572838468/1237568522644/" TargetMode="External"/><Relationship Id="rId161" Type="http://schemas.openxmlformats.org/officeDocument/2006/relationships/hyperlink" Target="https://www.newcastleairport.com.au/annual-reports/annual-report-2017-2018" TargetMode="External"/><Relationship Id="rId166" Type="http://schemas.openxmlformats.org/officeDocument/2006/relationships/hyperlink" Target="https://www.melbourneairport.com.au/getattachment/Corporate/About-us/Corporate-Information/Annual-reports/2018_APAC_Annual-_Report.pdf.aspx?lang=en-AU&amp;ext=.pdf" TargetMode="External"/><Relationship Id="rId182" Type="http://schemas.openxmlformats.org/officeDocument/2006/relationships/hyperlink" Target="https://hidot.hawaii.gov/airports/files/2018/12/airport-audit-rpt-fy2018.pdf" TargetMode="External"/><Relationship Id="rId187" Type="http://schemas.openxmlformats.org/officeDocument/2006/relationships/hyperlink" Target="https://nmia.aero/wp-content/uploads/2018/10/NMIA-Airports-Limited-NMIAL-Annual-Report-2016-2017.pdf" TargetMode="External"/><Relationship Id="rId217" Type="http://schemas.openxmlformats.org/officeDocument/2006/relationships/hyperlink" Target="http://corporate.flyeia.com/about-us/reports-publications/annual-and-quartely-reports" TargetMode="External"/><Relationship Id="rId1" Type="http://schemas.openxmlformats.org/officeDocument/2006/relationships/hyperlink" Target="http://www.gacl.com.gh/wp-content/themes/betheme/Pdfs/AGM%202016%20-%20Single%20pages.pdf" TargetMode="External"/><Relationship Id="rId6" Type="http://schemas.openxmlformats.org/officeDocument/2006/relationships/hyperlink" Target="http://www.airports.com.na/about-us/annual-reports/108/" TargetMode="External"/><Relationship Id="rId212" Type="http://schemas.openxmlformats.org/officeDocument/2006/relationships/hyperlink" Target="https://www.bvm.com.uy/repo/arch/775c8be096b689b.pdf" TargetMode="External"/><Relationship Id="rId233" Type="http://schemas.openxmlformats.org/officeDocument/2006/relationships/hyperlink" Target="http://www.miami-airport.com/library/pdfdoc/Finance/Miami-Dade%20Aviation%20Department%209-30-18%20ISSUED%20CAFR.pdf" TargetMode="External"/><Relationship Id="rId238" Type="http://schemas.openxmlformats.org/officeDocument/2006/relationships/hyperlink" Target="https://www.tampaairport.com/sites/default/master/files/Hillsborough%20County%20Aviation%20Authority%20-%202018%20FINAL.pdf" TargetMode="External"/><Relationship Id="rId23" Type="http://schemas.openxmlformats.org/officeDocument/2006/relationships/hyperlink" Target="https://www.gvk.com/files/investorrelations/financialinformation/annualreports/2017__18_86ec57ac81bb494bb3f554b4a09a7286.pdf" TargetMode="External"/><Relationship Id="rId28" Type="http://schemas.openxmlformats.org/officeDocument/2006/relationships/hyperlink" Target="https://www.airport.lk/aasl/company_overview/2018_annual_report.pdf" TargetMode="External"/><Relationship Id="rId49" Type="http://schemas.openxmlformats.org/officeDocument/2006/relationships/hyperlink" Target="http://pdf.dfcfw.com/pdf/H2_AN201904291323960606_1.pdf" TargetMode="External"/><Relationship Id="rId114" Type="http://schemas.openxmlformats.org/officeDocument/2006/relationships/hyperlink" Target="https://www.verif.com/bilans-gratuits/SOCIETE-AEROPORTUAIRE-DE-GESTION-ET-D-EXPLOITATION-DE-BEAUVAIS-504213695/" TargetMode="External"/><Relationship Id="rId119" Type="http://schemas.openxmlformats.org/officeDocument/2006/relationships/hyperlink" Target="https://www.aeroportodinapoli.it/en_GB/gesac/fs" TargetMode="External"/><Relationship Id="rId44" Type="http://schemas.openxmlformats.org/officeDocument/2006/relationships/hyperlink" Target="http://www.shclearing.com/xxpl/cwbg/nb/201904/t20190428_512728.html" TargetMode="External"/><Relationship Id="rId60" Type="http://schemas.openxmlformats.org/officeDocument/2006/relationships/hyperlink" Target="https://www.tsa.gov.tw/tsa/images/info/1060713.pdf" TargetMode="External"/><Relationship Id="rId65" Type="http://schemas.openxmlformats.org/officeDocument/2006/relationships/hyperlink" Target="https://www.nabic.co.jp/company/information/download/e60.pdf" TargetMode="External"/><Relationship Id="rId81" Type="http://schemas.openxmlformats.org/officeDocument/2006/relationships/hyperlink" Target="https://platform.mi.spglobal.com/interactive/newlookandfeel/9167688/CAAP-CorporatePresentation.pdf" TargetMode="External"/><Relationship Id="rId86" Type="http://schemas.openxmlformats.org/officeDocument/2006/relationships/hyperlink" Target="https://www.fraport-slovenija.si/pripone/2471/Annual%20Report%20FS%202017.pdf" TargetMode="External"/><Relationship Id="rId130" Type="http://schemas.openxmlformats.org/officeDocument/2006/relationships/hyperlink" Target="https://www.airport.gg/sites/default/files/uploads/Guernsey%20Airport%20Annual%20Report%202017%20-%20Final%20EASA%20approved.pdf" TargetMode="External"/><Relationship Id="rId135" Type="http://schemas.openxmlformats.org/officeDocument/2006/relationships/hyperlink" Target="https://www.heathrow.com/file_source/Company/Static/PDF/Investorcentre/Heathrow_Airport_Holdings_Limited_2018_FY.pdf" TargetMode="External"/><Relationship Id="rId151" Type="http://schemas.openxmlformats.org/officeDocument/2006/relationships/hyperlink" Target="https://cph-prod-cdn.azureedge.net/495470/globalassets/8.-om-cph/6.-investor/arsrapporter/2018/cph-annual-report-2018_uk_web.pdf" TargetMode="External"/><Relationship Id="rId156" Type="http://schemas.openxmlformats.org/officeDocument/2006/relationships/hyperlink" Target="http://www.baltic-course.com/eng/good_for_business/?doc=140426" TargetMode="External"/><Relationship Id="rId177" Type="http://schemas.openxmlformats.org/officeDocument/2006/relationships/hyperlink" Target="http://www.palemene.ws/new/wp-content/uploads/AR-2017-English-FINAL-SIGNED-111217.pdf" TargetMode="External"/><Relationship Id="rId198" Type="http://schemas.openxmlformats.org/officeDocument/2006/relationships/hyperlink" Target="https://www.anac.gov.br/assuntos/paginas-tematicas/concessoes/galeao/documentos-relacionados/07demonstracoes-financeiras/galeao.pdf" TargetMode="External"/><Relationship Id="rId172" Type="http://schemas.openxmlformats.org/officeDocument/2006/relationships/hyperlink" Target="https://cats.airports.faa.gov/" TargetMode="External"/><Relationship Id="rId193" Type="http://schemas.openxmlformats.org/officeDocument/2006/relationships/hyperlink" Target="https://www.aicm.com.mx/acercadelaicm/Archivos/files/EstadosFinancieros/DictamenAICM2017.pdf" TargetMode="External"/><Relationship Id="rId202" Type="http://schemas.openxmlformats.org/officeDocument/2006/relationships/hyperlink" Target="https://www4.infraero.gov.br/media/674585/relatorio_anual_2017.pdf" TargetMode="External"/><Relationship Id="rId207" Type="http://schemas.openxmlformats.org/officeDocument/2006/relationships/hyperlink" Target="http://aeropuertoaraucania.cl/wp-content/uploads/MEMORIA-ARAUCANIA-2018.pdf" TargetMode="External"/><Relationship Id="rId223" Type="http://schemas.openxmlformats.org/officeDocument/2006/relationships/hyperlink" Target="https://www.flydenver.com/sites/default/files/downloads/den_Audited_Financial_Statements_2018.pdf" TargetMode="External"/><Relationship Id="rId228" Type="http://schemas.openxmlformats.org/officeDocument/2006/relationships/hyperlink" Target="https://d14ik00wldmhq.cloudfront.net/media/filer_public/68/2d/682d992e-2903-40df-886f-b076365516e6/has_fy18_cafr.pdf" TargetMode="External"/><Relationship Id="rId244" Type="http://schemas.openxmlformats.org/officeDocument/2006/relationships/hyperlink" Target="https://cats.airports.faa.gov/" TargetMode="External"/><Relationship Id="rId13" Type="http://schemas.openxmlformats.org/officeDocument/2006/relationships/hyperlink" Target="https://www.challenge.ma/onda-10-du-chiffre-daffaires-en-2017-93502/" TargetMode="External"/><Relationship Id="rId18" Type="http://schemas.openxmlformats.org/officeDocument/2006/relationships/hyperlink" Target="https://globenewswire.com/news-release/2018/04/19/1481380/0/en/A%C3%A9roports-de-Paris-SA-Groupe-ADP-acquires-the-exclusive-control-of-Airport-International-Group-concessionary-of-Queen-Alia-International-Airport-in-Amman-Jordan.html" TargetMode="External"/><Relationship Id="rId39" Type="http://schemas.openxmlformats.org/officeDocument/2006/relationships/hyperlink" Target="http://www.miaa.gov.ph/miaa/index.php?option=com_content&amp;view=article&amp;id=3286&amp;Itemid=197" TargetMode="External"/><Relationship Id="rId109" Type="http://schemas.openxmlformats.org/officeDocument/2006/relationships/hyperlink" Target="https://www.parisaeroport.fr/docs/default-source/groupe-fichiers/finance/relations-investisseurs/information-financi%C3%A8re/r%C3%A9sultats-et-chiffre-d'affaires/2019/en-groupe-adpv3---communiqu%C3%A9-de-presse-des-r%C3%A9sultats-annuels-2018.pdf?sfvrsn=e23ef5bd_6" TargetMode="External"/><Relationship Id="rId34" Type="http://schemas.openxmlformats.org/officeDocument/2006/relationships/hyperlink" Target="http://aot.listedcompany.com/misc/AR/20190108-aot-ar-2018-en.pdf" TargetMode="External"/><Relationship Id="rId50" Type="http://schemas.openxmlformats.org/officeDocument/2006/relationships/hyperlink" Target="http://www.shclearing.com/xxpl/cwbg/nb/201804/t20180428_376563.html" TargetMode="External"/><Relationship Id="rId55" Type="http://schemas.openxmlformats.org/officeDocument/2006/relationships/hyperlink" Target="https://www.fraport.com/en/misc/binaer/fraport-group/investors/events-and-publications/annual-reports/AR2018/_jcr_content.file/ar_fraport2018_final_1_20190319.pdf" TargetMode="External"/><Relationship Id="rId76" Type="http://schemas.openxmlformats.org/officeDocument/2006/relationships/hyperlink" Target="https://www.fraport.com/en/misc/binaer/fraport-group/investors/events-and-publications/annual-reports/AR2018/_jcr_content.file/ar_fraport2018_final_1_20190319.pdf" TargetMode="External"/><Relationship Id="rId97" Type="http://schemas.openxmlformats.org/officeDocument/2006/relationships/hyperlink" Target="https://www.viennaairport.com/jart/prj3/va/uploads/data-uploads/Konzern/Investor%20Relations/Geschaeftsberichte/GB_2018_EN.pdf" TargetMode="External"/><Relationship Id="rId104" Type="http://schemas.openxmlformats.org/officeDocument/2006/relationships/hyperlink" Target="https://www.hamburg-airport.de/media/Annual_Report_2017_stand180611web.pdf" TargetMode="External"/><Relationship Id="rId120" Type="http://schemas.openxmlformats.org/officeDocument/2006/relationships/hyperlink" Target="https://www.toscana-aeroporti.com/images/files/investor-relations/Bilanci_e_Relazioni/2017/20171231_-_Bilancio_TA_ENG_.pdf" TargetMode="External"/><Relationship Id="rId125" Type="http://schemas.openxmlformats.org/officeDocument/2006/relationships/hyperlink" Target="https://www.tisegroup.com/umbraco/surface/proxyapi/getnewspdf?id=250409&amp;name=Bristol%20Airport%20(UK)%20No.3%20Ltd" TargetMode="External"/><Relationship Id="rId141" Type="http://schemas.openxmlformats.org/officeDocument/2006/relationships/hyperlink" Target="https://www.gva.ch/en/Downloads/Aeroport/Couv-Rapport_Annuel_FR" TargetMode="External"/><Relationship Id="rId146" Type="http://schemas.openxmlformats.org/officeDocument/2006/relationships/hyperlink" Target="https://www.ana.pt/en/system/files/documents/annual_report_2018.pdf" TargetMode="External"/><Relationship Id="rId167" Type="http://schemas.openxmlformats.org/officeDocument/2006/relationships/hyperlink" Target="https://www.christchurchairport.co.nz/media/912505/cial_financial_statements_2018.pdf" TargetMode="External"/><Relationship Id="rId188" Type="http://schemas.openxmlformats.org/officeDocument/2006/relationships/hyperlink" Target="http://jamaica-gleaner.com/article/business/20180808/sangster-airport-generates-us52m-revenue-six-months" TargetMode="External"/><Relationship Id="rId7" Type="http://schemas.openxmlformats.org/officeDocument/2006/relationships/hyperlink" Target="https://guardian.ng/business-services/aviation-business/faan-income-on-passenger-service-charge-hit-n38bn-in-2017-says-md/" TargetMode="External"/><Relationship Id="rId71" Type="http://schemas.openxmlformats.org/officeDocument/2006/relationships/hyperlink" Target="https://www.vedomosti.ru/business/characters/2018/06/13/772655-vnukovo" TargetMode="External"/><Relationship Id="rId92" Type="http://schemas.openxmlformats.org/officeDocument/2006/relationships/hyperlink" Target="http://www.tavyatirimciiliskileri.com/en-EN/Lists/Financial%20Statement/Attachments/109/TAVHL_12M18_Announcement_13Feb2019.pdf" TargetMode="External"/><Relationship Id="rId162" Type="http://schemas.openxmlformats.org/officeDocument/2006/relationships/hyperlink" Target="https://www.perthairport.com.au/-/media/Files/CORPORATE/About-us/Reports-and-publications/PA180692-Annual-Report-2018-web.pdf?la=en" TargetMode="External"/><Relationship Id="rId183" Type="http://schemas.openxmlformats.org/officeDocument/2006/relationships/hyperlink" Target="https://cats.airports.faa.gov/" TargetMode="External"/><Relationship Id="rId213" Type="http://schemas.openxmlformats.org/officeDocument/2006/relationships/hyperlink" Target="https://www.admtl.com/en/node/17126" TargetMode="External"/><Relationship Id="rId218" Type="http://schemas.openxmlformats.org/officeDocument/2006/relationships/hyperlink" Target="https://halifaxstanfield.ca/wp-content/uploads/2012/12/HIAA_AR2018_English_Final_Web.pdf" TargetMode="External"/><Relationship Id="rId234" Type="http://schemas.openxmlformats.org/officeDocument/2006/relationships/hyperlink" Target="https://www.skyharbor.com/docs/default-source/pdfs/annual-reports/annual-report-2018.pdf?sfvrsn=2ed39488_4" TargetMode="External"/><Relationship Id="rId239" Type="http://schemas.openxmlformats.org/officeDocument/2006/relationships/hyperlink" Target="https://cats.airports.faa.gov/" TargetMode="External"/><Relationship Id="rId2" Type="http://schemas.openxmlformats.org/officeDocument/2006/relationships/hyperlink" Target="https://www.financialafrik.com/2017/01/12/guinee-le-retour-des-compagnies-aeriennes/" TargetMode="External"/><Relationship Id="rId29" Type="http://schemas.openxmlformats.org/officeDocument/2006/relationships/hyperlink" Target="https://myrepublica.nagariknetwork.com/news/most-of-the-airports-in-the-country-make-losses/" TargetMode="External"/><Relationship Id="rId24" Type="http://schemas.openxmlformats.org/officeDocument/2006/relationships/hyperlink" Target="https://www.aai.aero/sites/default/files/AAI%20Annual%20Report%202016-17%20English.pdf" TargetMode="External"/><Relationship Id="rId40" Type="http://schemas.openxmlformats.org/officeDocument/2006/relationships/hyperlink" Target="http://mahb.listedcompany.com/misc/presentation/2018/4Q18_Analyst_Briefing_28022019.pdf" TargetMode="External"/><Relationship Id="rId45" Type="http://schemas.openxmlformats.org/officeDocument/2006/relationships/hyperlink" Target="http://data.eastmoney.com/notices/detail/600897/AN201904251322635958,JWU1JThlJWE2JWU5JTk3JWE4JWU3JWE5JWJhJWU2JWI4JWFm.html" TargetMode="External"/><Relationship Id="rId66" Type="http://schemas.openxmlformats.org/officeDocument/2006/relationships/hyperlink" Target="http://www.matsuyama-airport.co.jp/pdf/keiei/40houkoku.pdf" TargetMode="External"/><Relationship Id="rId87" Type="http://schemas.openxmlformats.org/officeDocument/2006/relationships/hyperlink" Target="https://www.fraport-greece.com/uploads/page_art/0/170/FRAPORT_REGIONAL_AIRPORTS_OF_GREECE_B_SOCIETE_ANONYME_2017.pdf" TargetMode="External"/><Relationship Id="rId110" Type="http://schemas.openxmlformats.org/officeDocument/2006/relationships/hyperlink" Target="https://objectifaquitaine.latribune.fr/business/2017-01-05/aeroport-de-bordeaux-strategie-d-un-decollage-reussi.html" TargetMode="External"/><Relationship Id="rId115" Type="http://schemas.openxmlformats.org/officeDocument/2006/relationships/hyperlink" Target="https://www.lyonmag.com/article/86568/aeroport-de-saint-exupery-vinci-genereux-avec-les-actionnaires-et-le-directeur-general" TargetMode="External"/><Relationship Id="rId131" Type="http://schemas.openxmlformats.org/officeDocument/2006/relationships/hyperlink" Target="http://www.hial.co.uk/wp-content/uploads/2018/09/HIAL-31.3.18-Signed-Version.pdf" TargetMode="External"/><Relationship Id="rId136" Type="http://schemas.openxmlformats.org/officeDocument/2006/relationships/hyperlink" Target="https://www.london-luton.co.uk/LondonLuton/files/f8/f8f757e1-efbf-45f7-a354-9a19f493b75f.pdf" TargetMode="External"/><Relationship Id="rId157" Type="http://schemas.openxmlformats.org/officeDocument/2006/relationships/hyperlink" Target="https://www.vilnius-airport.lt/en/news/" TargetMode="External"/><Relationship Id="rId178" Type="http://schemas.openxmlformats.org/officeDocument/2006/relationships/hyperlink" Target="http://www.tahiti-aeroport.pf/UserFiles/Rapport%20d'activites%202017%20ADT%20.pdf" TargetMode="External"/><Relationship Id="rId61" Type="http://schemas.openxmlformats.org/officeDocument/2006/relationships/hyperlink" Target="https://www.centrair.jp/corporate/ir/pdf/ufo2019.pdf" TargetMode="External"/><Relationship Id="rId82" Type="http://schemas.openxmlformats.org/officeDocument/2006/relationships/hyperlink" Target="https://www.airport-dubrovnik.hr/images/Godisnje_izvjesce_2017.pdf" TargetMode="External"/><Relationship Id="rId152" Type="http://schemas.openxmlformats.org/officeDocument/2006/relationships/hyperlink" Target="https://www.isavia.is/annualreport2018" TargetMode="External"/><Relationship Id="rId173" Type="http://schemas.openxmlformats.org/officeDocument/2006/relationships/hyperlink" Target="http://www.parliament.gov.fj/wp-content/uploads/2018/03/Airports-Fiji-Limited-Annual-Report-2016.pdf" TargetMode="External"/><Relationship Id="rId194" Type="http://schemas.openxmlformats.org/officeDocument/2006/relationships/hyperlink" Target="http://www.asur.com.mx/assets/files/en/investors/press_releases/ASUR-Airport-20F-Financial-Information-Year-2018.pdf" TargetMode="External"/><Relationship Id="rId199" Type="http://schemas.openxmlformats.org/officeDocument/2006/relationships/hyperlink" Target="http://www.mzweb.com.br/GRUAirport/web/download_arquivos.asp?id_arquivo=3C0351BA-8902-4211-A02C-CBF49EDE93F1" TargetMode="External"/><Relationship Id="rId203" Type="http://schemas.openxmlformats.org/officeDocument/2006/relationships/hyperlink" Target="http://beritatrans.com/2017/01/30/bandara-hang-nadim-ditargetkan-layani-67-juta-penumpang-raup-pendapatan-rp180-miliar-tahun-2017/" TargetMode="External"/><Relationship Id="rId208" Type="http://schemas.openxmlformats.org/officeDocument/2006/relationships/hyperlink" Target="https://www.odinsa.com/wp-content/uploads/INFORME-ODINSA-2017-GRI.pdf" TargetMode="External"/><Relationship Id="rId229" Type="http://schemas.openxmlformats.org/officeDocument/2006/relationships/hyperlink" Target="https://www.dfwairport.com/cs/groups/webcontent/documents/webasset/p3_106747.pdf" TargetMode="External"/><Relationship Id="rId19" Type="http://schemas.openxmlformats.org/officeDocument/2006/relationships/hyperlink" Target="http://www.yemenmonitor.com/Manage/Archive/ArtMID/905/ArticleID/14952/255-%D9%85%D9%84%D9%8A%D9%88%D9%86-%D8%B1%D9%8A%D8%A7%D9%84-%D9%8A%D9%85%D9%86%D9%8A-%D8%A5%D9%8A%D8%B1%D8%A7%D8%AF%D8%A7%D8%AA-%D9%85%D8%B7%D8%A7%D8%B1-%D8%B3%D9%8A%D8%A6%D9%88%D9%86-%D8%A7%D9%84%D8%AF%D9%88%D9%84%D9%8A-%D8%AE%D9%84%D8%A7%D9%84-%D8%A7%D9%84%D8%B9%D8%A7%D9%85-2016" TargetMode="External"/><Relationship Id="rId224" Type="http://schemas.openxmlformats.org/officeDocument/2006/relationships/hyperlink" Target="https://lawamediastorage.blob.core.windows.net/lawa-media-files/media-files/lawa-web/lawa-investor-relations/files/fy2018-lax-annual-report.pdf" TargetMode="External"/><Relationship Id="rId240" Type="http://schemas.openxmlformats.org/officeDocument/2006/relationships/hyperlink" Target="https://cats.airports.faa.gov/" TargetMode="External"/><Relationship Id="rId245" Type="http://schemas.openxmlformats.org/officeDocument/2006/relationships/hyperlink" Target="https://cats.airports.faa.gov/" TargetMode="External"/><Relationship Id="rId14" Type="http://schemas.openxmlformats.org/officeDocument/2006/relationships/hyperlink" Target="http://www.tavyatirimciiliskileri.com/en-EN/Lists/Financial%20Statement/Attachments/109/TAVHL_12M18_Announcement_13Feb2019.pdf" TargetMode="External"/><Relationship Id="rId30" Type="http://schemas.openxmlformats.org/officeDocument/2006/relationships/hyperlink" Target="http://www.bengaluruairport.com/bial/pdf/Annual_Report_2016_17.pdf" TargetMode="External"/><Relationship Id="rId35" Type="http://schemas.openxmlformats.org/officeDocument/2006/relationships/hyperlink" Target="https://ba.listedcompany.com/misc/ar/20190318-ba-ar2018-en.pdf" TargetMode="External"/><Relationship Id="rId56" Type="http://schemas.openxmlformats.org/officeDocument/2006/relationships/hyperlink" Target="http://www.shclearing.com/xxpl/cwbg/nb/201904/t20190428_512023.html" TargetMode="External"/><Relationship Id="rId77" Type="http://schemas.openxmlformats.org/officeDocument/2006/relationships/hyperlink" Target="https://24.kg/obschestvo/86839_oao_mejdunarodnyiy_aeroport_manas_orealnom_sostoyanii_del_vkompanii/" TargetMode="External"/><Relationship Id="rId100" Type="http://schemas.openxmlformats.org/officeDocument/2006/relationships/hyperlink" Target="https://www.berlin-airport.de/en/press/publications/company/2018/2017-annual-report.pdf" TargetMode="External"/><Relationship Id="rId105" Type="http://schemas.openxmlformats.org/officeDocument/2006/relationships/hyperlink" Target="https://www.hannover-airport.de/fileadmin/downloads/Unternehmen_Airport/DatenundFakten/Geschaeftsberichte/Hannover_Airport_annual_report_2017.pdf" TargetMode="External"/><Relationship Id="rId126" Type="http://schemas.openxmlformats.org/officeDocument/2006/relationships/hyperlink" Target="https://www.walesonline.co.uk/business/business-news/cardiff-airport-profit-first-time-15228561" TargetMode="External"/><Relationship Id="rId147" Type="http://schemas.openxmlformats.org/officeDocument/2006/relationships/hyperlink" Target="https://luxmain.blob.core.windows.net/wp-uploads/wp-content/uploads/2018/07/2018-06-26-LuxAirport-RA-FINAL.pdf" TargetMode="External"/><Relationship Id="rId168" Type="http://schemas.openxmlformats.org/officeDocument/2006/relationships/hyperlink" Target="https://www.wellingtonairport.co.nz/documents/536/WIAL_FY18_Annual_Report.pdf" TargetMode="External"/><Relationship Id="rId8" Type="http://schemas.openxmlformats.org/officeDocument/2006/relationships/hyperlink" Target="http://www.seychellesairports.sc/media/attachments/2018/06/21/annual-report-2017-e-copy.pdf" TargetMode="External"/><Relationship Id="rId51" Type="http://schemas.openxmlformats.org/officeDocument/2006/relationships/hyperlink" Target="http://www.mlairport.com/autoweb/autoweb/secondpage/hkml_en_tzzgxhken_jb.html?id=r47BzQDqMhLmiRl7reEzVD62kxbg3d27hken_jb&amp;name=Annual%20Reports&amp;t1=Daily&amp;t2=s_c_name_nb%20s_j_c&amp;t3=8&amp;t4=8" TargetMode="External"/><Relationship Id="rId72" Type="http://schemas.openxmlformats.org/officeDocument/2006/relationships/hyperlink" Target="http://old.kase.kz/files/emitters/ARAL/aralp_2017_rus.pdf" TargetMode="External"/><Relationship Id="rId93" Type="http://schemas.openxmlformats.org/officeDocument/2006/relationships/hyperlink" Target="http://www.tavyatirimciiliskileri.com/en-EN/Lists/Financial%20Statement/Attachments/109/TAVHL_12M18_Announcement_13Feb2019.pdf" TargetMode="External"/><Relationship Id="rId98" Type="http://schemas.openxmlformats.org/officeDocument/2006/relationships/hyperlink" Target="https://www.innsbruck-airport.com/media/17251/FHI_ID1821_Geschaeftsbericht2018_apr18_WEB%20DS.pdf" TargetMode="External"/><Relationship Id="rId121" Type="http://schemas.openxmlformats.org/officeDocument/2006/relationships/hyperlink" Target="https://www.grupposave.it/upload/comunicati/1545046385/save_group_consolidated_fs_31_december_2017.pdf" TargetMode="External"/><Relationship Id="rId142" Type="http://schemas.openxmlformats.org/officeDocument/2006/relationships/hyperlink" Target="https://report.flughafen-zuerich.ch/2018/ar/en" TargetMode="External"/><Relationship Id="rId163" Type="http://schemas.openxmlformats.org/officeDocument/2006/relationships/hyperlink" Target="https://www.darwinairport.com.au/node/807/attachment" TargetMode="External"/><Relationship Id="rId184" Type="http://schemas.openxmlformats.org/officeDocument/2006/relationships/hyperlink" Target="https://cats.airports.faa.gov/" TargetMode="External"/><Relationship Id="rId189" Type="http://schemas.openxmlformats.org/officeDocument/2006/relationships/hyperlink" Target="https://elmundo.sv/ingresos-del-aeropuerto-romero-crecieron-el-30-en-los-ultimos-cinco-anos/" TargetMode="External"/><Relationship Id="rId219" Type="http://schemas.openxmlformats.org/officeDocument/2006/relationships/hyperlink" Target="https://yow.ca/en/corporate/airport-authority/annual-reports/2018-annual-report" TargetMode="External"/><Relationship Id="rId3" Type="http://schemas.openxmlformats.org/officeDocument/2006/relationships/hyperlink" Target="http://images.mofcom.gov.cn/gn/201712/20171223185500723.pdf" TargetMode="External"/><Relationship Id="rId214" Type="http://schemas.openxmlformats.org/officeDocument/2006/relationships/hyperlink" Target="https://www.torontopearson.com/ar2018/" TargetMode="External"/><Relationship Id="rId230" Type="http://schemas.openxmlformats.org/officeDocument/2006/relationships/hyperlink" Target="https://www.atl.com/wp-content/uploads/2019/01/FY18-Comprehensive-Annual-Financial-Report.pdf" TargetMode="External"/><Relationship Id="rId235" Type="http://schemas.openxmlformats.org/officeDocument/2006/relationships/hyperlink" Target="https://www.metroairports.org/Airport-Authority/Metropolitan-Airports-Commission/Administration/Financials.aspx" TargetMode="External"/><Relationship Id="rId25" Type="http://schemas.openxmlformats.org/officeDocument/2006/relationships/hyperlink" Target="https://www.aai.aero/sites/default/files/AAI%20Annual%20Report%202016-17%20English.pdf" TargetMode="External"/><Relationship Id="rId46" Type="http://schemas.openxmlformats.org/officeDocument/2006/relationships/hyperlink" Target="http://pdf.dfcfw.com/pdf/H2_AN201903221308668381_1.pdf" TargetMode="External"/><Relationship Id="rId67" Type="http://schemas.openxmlformats.org/officeDocument/2006/relationships/hyperlink" Target="https://www.airport.kr/co_file/en/file01/2018_brochure_en.pdf" TargetMode="External"/><Relationship Id="rId116" Type="http://schemas.openxmlformats.org/officeDocument/2006/relationships/hyperlink" Target="https://fr.zone-secure.net/5521/.daa_Annual_report_2018/" TargetMode="External"/><Relationship Id="rId137" Type="http://schemas.openxmlformats.org/officeDocument/2006/relationships/hyperlink" Target="https://www.magairports.com/investor-relations/annual-and-interim-reports/" TargetMode="External"/><Relationship Id="rId158" Type="http://schemas.openxmlformats.org/officeDocument/2006/relationships/hyperlink" Target="https://www.tallinn-airport.ee/wordpress/wp-content/uploads/2019/06/Tallinna-Lennujaam-eng.pdf" TargetMode="External"/><Relationship Id="rId20" Type="http://schemas.openxmlformats.org/officeDocument/2006/relationships/hyperlink" Target="http://www.tavyatirimciiliskileri.com/en-EN/Lists/Financial%20Statement/Attachments/109/TAVHL_12M18_Announcement_13Feb2019.pdf" TargetMode="External"/><Relationship Id="rId41" Type="http://schemas.openxmlformats.org/officeDocument/2006/relationships/hyperlink" Target="https://www.mmc.com.my/MMC%20Annual%20Report%202018.pdf" TargetMode="External"/><Relationship Id="rId62" Type="http://schemas.openxmlformats.org/officeDocument/2006/relationships/hyperlink" Target="http://www.hij.airport.jp/company/business.html" TargetMode="External"/><Relationship Id="rId83" Type="http://schemas.openxmlformats.org/officeDocument/2006/relationships/hyperlink" Target="https://www.fraport.com/en/misc/binaer/fraport-group/investors/events-and-publications/annual-reports/AR2018/_jcr_content.file/ar_fraport2018_final_1_20190319.pdf" TargetMode="External"/><Relationship Id="rId88" Type="http://schemas.openxmlformats.org/officeDocument/2006/relationships/hyperlink" Target="https://www.fraport-greece.com/uploads/page_art/0/170/FRAPORT_REGIONAL_AIRPORTS_OF_GREECE_A_SOCIETE_ANONYME_2017.pdf" TargetMode="External"/><Relationship Id="rId111" Type="http://schemas.openxmlformats.org/officeDocument/2006/relationships/hyperlink" Target="https://www.reunion.aeroport.fr/sites/default/files/rapport_dactivites/hd-0718_aarg_rapport_annuel_2018_web_150dpi.compressed.pdf" TargetMode="External"/><Relationship Id="rId132" Type="http://schemas.openxmlformats.org/officeDocument/2006/relationships/hyperlink" Target="https://www.insidermedia.com/insider/northwest/liverpool-airports-losses-halve" TargetMode="External"/><Relationship Id="rId153" Type="http://schemas.openxmlformats.org/officeDocument/2006/relationships/hyperlink" Target="https://www.finavia.fi/en/about-finavia/financial-information/annual-reports/2018" TargetMode="External"/><Relationship Id="rId174" Type="http://schemas.openxmlformats.org/officeDocument/2006/relationships/hyperlink" Target="http://documents.worldbank.org/curated/en/906991483571717775/pdf/TAL-Audited-Financial-Statements-2016-002.pdf" TargetMode="External"/><Relationship Id="rId179" Type="http://schemas.openxmlformats.org/officeDocument/2006/relationships/hyperlink" Target="https://cats.airports.faa.gov/" TargetMode="External"/><Relationship Id="rId195" Type="http://schemas.openxmlformats.org/officeDocument/2006/relationships/hyperlink" Target="http://ir.oma.aero/static-files/f506a192-2302-4195-b5fa-ca891d8f7d27" TargetMode="External"/><Relationship Id="rId209" Type="http://schemas.openxmlformats.org/officeDocument/2006/relationships/hyperlink" Target="https://www.odinsa.com/wp-content/uploads/INFORME-ODINSA-2017-GRI.pdf" TargetMode="External"/><Relationship Id="rId190" Type="http://schemas.openxmlformats.org/officeDocument/2006/relationships/hyperlink" Target="http://tocumenpanama.aero/transparencia/data_21-05-2018-updates/Otros/pdf/annual-report-2017-aitsa.pdf" TargetMode="External"/><Relationship Id="rId204" Type="http://schemas.openxmlformats.org/officeDocument/2006/relationships/hyperlink" Target="https://www.nuevopudahuel.cl/sites/default/files/memoria_anual_2018.pdf" TargetMode="External"/><Relationship Id="rId220" Type="http://schemas.openxmlformats.org/officeDocument/2006/relationships/hyperlink" Target="https://www.flipsnack.com/WinnipegAirportsAuthority/waa_2018_annual-report.html" TargetMode="External"/><Relationship Id="rId225" Type="http://schemas.openxmlformats.org/officeDocument/2006/relationships/hyperlink" Target="https://www.san.org/DesktopModules/Bring2mind/DMX/Download.aspx?EntryId=12520&amp;Command=Core_Download&amp;language=en-US&amp;PortalId=0&amp;TabId=197" TargetMode="External"/><Relationship Id="rId241" Type="http://schemas.openxmlformats.org/officeDocument/2006/relationships/hyperlink" Target="https://cats.airports.faa.gov/" TargetMode="External"/><Relationship Id="rId246" Type="http://schemas.openxmlformats.org/officeDocument/2006/relationships/hyperlink" Target="http://mahb.listedcompany.com/misc/presentation/2018/4Q18_Analyst_Briefing_28022019.pdf" TargetMode="External"/><Relationship Id="rId15" Type="http://schemas.openxmlformats.org/officeDocument/2006/relationships/hyperlink" Target="http://www.dotmsr.com/News/196/428087/%D9%85%D8%B7%D8%A7%D8%B1-%D8%A7%D9%84%D9%82%D8%A7%D9%87%D8%B1%D8%A9-2-6-%D9%85%D9%84%D9%8A%D8%A7%D8%B1-%D8%AC%D9%86%D9%8A%D9%87-%D8%A5%D9%8A%D8%B1%D8%A7%D8%AF%D8%A7%D8%AA-%D8%A7%D9%84%D8%B9%D8%A7%D9%85-%D8%A7%D9%84%D8%AC%D8%A7%D8%B1%D9%8A" TargetMode="External"/><Relationship Id="rId36" Type="http://schemas.openxmlformats.org/officeDocument/2006/relationships/hyperlink" Target="https://www.vinci.com/commun/presentations.nsf/FECE479F196DF4B9C125839800598ABB/$file/VINCI_2018-full-years-results.pdf" TargetMode="External"/><Relationship Id="rId57" Type="http://schemas.openxmlformats.org/officeDocument/2006/relationships/hyperlink" Target="https://www.hongkongairport.com/en/airport-authority/publications/annual-interim-reports/annual_2017_18" TargetMode="External"/><Relationship Id="rId106" Type="http://schemas.openxmlformats.org/officeDocument/2006/relationships/hyperlink" Target="https://www.munich-airport.com/_b/0000000000000006771266bb5d10d6da/FMG_IB2018_Financial-report.pdf" TargetMode="External"/><Relationship Id="rId127" Type="http://schemas.openxmlformats.org/officeDocument/2006/relationships/hyperlink" Target="https://www.cornwallairportnewquay.com/uploads/downloads/Cornwall-Airport-Ltd-signed-financial-statements-March-2016.pdf" TargetMode="External"/><Relationship Id="rId10" Type="http://schemas.openxmlformats.org/officeDocument/2006/relationships/hyperlink" Target="https://provincialgovernment.co.za/entity_annual/340/2017-limpopo-gateway-airports-authority-limited-(gaal)-annual-report.pdf" TargetMode="External"/><Relationship Id="rId31" Type="http://schemas.openxmlformats.org/officeDocument/2006/relationships/hyperlink" Target="https://links.sgx.com/FileOpen/DIAL%20Financials%20Mar%2019.ashx?App=Announcement&amp;FileID=557934" TargetMode="External"/><Relationship Id="rId52" Type="http://schemas.openxmlformats.org/officeDocument/2006/relationships/hyperlink" Target="https://www.shclearing.com/xxpl/cwbg/nb/201904/t20190430_515885.html" TargetMode="External"/><Relationship Id="rId73" Type="http://schemas.openxmlformats.org/officeDocument/2006/relationships/hyperlink" Target="https://business.dme.ru/files/2018/11/13/k5chtq1v.shc.pdf" TargetMode="External"/><Relationship Id="rId78" Type="http://schemas.openxmlformats.org/officeDocument/2006/relationships/hyperlink" Target="http://www.airport.tj/index.php/en/article/faoliati-agentii-aviatsia-grazdanii-nazdi-ukumati-t" TargetMode="External"/><Relationship Id="rId94" Type="http://schemas.openxmlformats.org/officeDocument/2006/relationships/hyperlink" Target="https://www.prg.aero/en/node/5215" TargetMode="External"/><Relationship Id="rId99" Type="http://schemas.openxmlformats.org/officeDocument/2006/relationships/hyperlink" Target="https://issuu.com/flughafengraz/docs/geschaeftsbericht_annual_report_201_85e088aec03259" TargetMode="External"/><Relationship Id="rId101" Type="http://schemas.openxmlformats.org/officeDocument/2006/relationships/hyperlink" Target="https://www.cologne-bonn-airport.com/uploads/tx_download/KBA_GeBer2017_web_EN.pdf" TargetMode="External"/><Relationship Id="rId122" Type="http://schemas.openxmlformats.org/officeDocument/2006/relationships/hyperlink" Target="https://www.bologna-airport.it/System/files/2018/IR/Bilanci/AnnualReport2018AdB.pdf" TargetMode="External"/><Relationship Id="rId143" Type="http://schemas.openxmlformats.org/officeDocument/2006/relationships/hyperlink" Target="https://www.euroairport.com/en/euroairport/company/about-us/request-documentation.html" TargetMode="External"/><Relationship Id="rId148" Type="http://schemas.openxmlformats.org/officeDocument/2006/relationships/hyperlink" Target="https://www.schiphol.nl/en/schiphol-group/page/annual-reports/" TargetMode="External"/><Relationship Id="rId164" Type="http://schemas.openxmlformats.org/officeDocument/2006/relationships/hyperlink" Target="http://qldairports.com.au/wp-content/uploads/2010/10/QAL_ANNUAL-REPORT-WEB.pdf" TargetMode="External"/><Relationship Id="rId169" Type="http://schemas.openxmlformats.org/officeDocument/2006/relationships/hyperlink" Target="https://www.hamiltonairport.co.nz/wp-content/uploads/2018/10/WRAL-2018-Annual-Report-LR_Website-copy.pdf" TargetMode="External"/><Relationship Id="rId185" Type="http://schemas.openxmlformats.org/officeDocument/2006/relationships/hyperlink" Target="http://nassaulpia.com/wp-content/uploads/2018/04/VAG_NAS-AR2017_FA-Digital.pdf" TargetMode="External"/><Relationship Id="rId4" Type="http://schemas.openxmlformats.org/officeDocument/2006/relationships/hyperlink" Target="https://www.oagkenya.go.ke/index.php/reports/doc_download/2422-kenya-airports-authority" TargetMode="External"/><Relationship Id="rId9" Type="http://schemas.openxmlformats.org/officeDocument/2006/relationships/hyperlink" Target="https://airportsir2018.co.za/about-our-integrated-report/" TargetMode="External"/><Relationship Id="rId180" Type="http://schemas.openxmlformats.org/officeDocument/2006/relationships/hyperlink" Target="https://cats.airports.faa.gov/" TargetMode="External"/><Relationship Id="rId210" Type="http://schemas.openxmlformats.org/officeDocument/2006/relationships/hyperlink" Target="http://repositorio.ucsg.edu.ec/bitstream/3317/9597/1/T-UCSG-POS-MFEE-104.pdf" TargetMode="External"/><Relationship Id="rId215" Type="http://schemas.openxmlformats.org/officeDocument/2006/relationships/hyperlink" Target="http://www.yvr.ca/-/media/yvr/documents/2018-asr/yvr-2018-annual-and-sustainability-report.pdf?la=en" TargetMode="External"/><Relationship Id="rId236" Type="http://schemas.openxmlformats.org/officeDocument/2006/relationships/hyperlink" Target="https://www.broward.org/Airport/Business/about/Documents/2017BCADfinancialstatements.pdf" TargetMode="External"/><Relationship Id="rId26" Type="http://schemas.openxmlformats.org/officeDocument/2006/relationships/hyperlink" Target="https://investor.gmrgroup.in/AnnualAccountSubsidiariesPDF/2017-18/44.%20GMR%20Hyderabad%20International%20Airport%20Limited.pdf" TargetMode="External"/><Relationship Id="rId231" Type="http://schemas.openxmlformats.org/officeDocument/2006/relationships/hyperlink" Target="https://www.chicago.gov/content/dam/city/depts/fin/supp_info/CAFR/2018CAFR/OHare2018.pdf" TargetMode="External"/><Relationship Id="rId47" Type="http://schemas.openxmlformats.org/officeDocument/2006/relationships/hyperlink" Target="http://pdf.dfcfw.com/pdf/H2_AN201903291311665379_1.pdf" TargetMode="External"/><Relationship Id="rId68" Type="http://schemas.openxmlformats.org/officeDocument/2006/relationships/hyperlink" Target="https://blueswandaily.com/korea-airports-corporation-moves-into-latin-america-as-the-political-heat-is-turned-up-at-home/" TargetMode="External"/><Relationship Id="rId89" Type="http://schemas.openxmlformats.org/officeDocument/2006/relationships/hyperlink" Target="https://www.aia.gr/company-and-business/the-company/Corporate-Publications/annual-report" TargetMode="External"/><Relationship Id="rId112" Type="http://schemas.openxmlformats.org/officeDocument/2006/relationships/hyperlink" Target="https://www.marseille.aeroport.fr/societe/content/download/10245/79495/file/Rapport%20Annuel%202017%20-%20A%C3%A9roport%20Marseille%20Provence.pdf" TargetMode="External"/><Relationship Id="rId133" Type="http://schemas.openxmlformats.org/officeDocument/2006/relationships/hyperlink" Target="https://www.telegraph.co.uk/business/2018/07/16/city-airport-profits-skid-passenger-numbers-dip/" TargetMode="External"/><Relationship Id="rId154" Type="http://schemas.openxmlformats.org/officeDocument/2006/relationships/hyperlink" Target="https://avinor.no/globalassets/_konsern/om-oss/rapporter/en/annual-report-2018.pdf" TargetMode="External"/><Relationship Id="rId175" Type="http://schemas.openxmlformats.org/officeDocument/2006/relationships/hyperlink" Target="https://www.guamairport.com/our-business/reports/annual-reports" TargetMode="External"/><Relationship Id="rId196" Type="http://schemas.openxmlformats.org/officeDocument/2006/relationships/hyperlink" Target="https://www.aeropuertosgap.com.mx/images/files/20-F%202018%20Annual%20Report.pdf" TargetMode="External"/><Relationship Id="rId200" Type="http://schemas.openxmlformats.org/officeDocument/2006/relationships/hyperlink" Target="http://jornal.iof.mg.gov.br/xmlui/bitstream/handle/123456789/195770/caderno2_2018-02-24%2019.pdf?sequence=1" TargetMode="External"/><Relationship Id="rId16" Type="http://schemas.openxmlformats.org/officeDocument/2006/relationships/hyperlink" Target="http://www.tradearabia.com/news/TTN_341143.html" TargetMode="External"/><Relationship Id="rId221" Type="http://schemas.openxmlformats.org/officeDocument/2006/relationships/hyperlink" Target="http://www.victoriaairport.com/pdfs/2018%20VAA%20Annual%20Report%20Web.pdf" TargetMode="External"/><Relationship Id="rId242" Type="http://schemas.openxmlformats.org/officeDocument/2006/relationships/hyperlink" Target="https://cats.airports.faa.gov/" TargetMode="External"/><Relationship Id="rId37" Type="http://schemas.openxmlformats.org/officeDocument/2006/relationships/hyperlink" Target="https://megawide.com.ph/wp-content/uploads/2019/05/Megawide-IR-FY2018.pdf" TargetMode="External"/><Relationship Id="rId58" Type="http://schemas.openxmlformats.org/officeDocument/2006/relationships/hyperlink" Target="http://www.macau-airport.com/en/media-centre/news/news/19945" TargetMode="External"/><Relationship Id="rId79" Type="http://schemas.openxmlformats.org/officeDocument/2006/relationships/hyperlink" Target="https://www.5.ua/ekonomika/aeroport-boryspil-otrymav-rekordnyi-dokhid-za-mynulyi-rik-164831.html" TargetMode="External"/><Relationship Id="rId102" Type="http://schemas.openxmlformats.org/officeDocument/2006/relationships/hyperlink" Target="https://www.dus.com/~/media/fdg/dus_com/konzern/unternehmen/zahlen_und_fakten/geschaeftsbericht/2018/dus_gb_2018_englisch.pdf" TargetMode="External"/><Relationship Id="rId123" Type="http://schemas.openxmlformats.org/officeDocument/2006/relationships/hyperlink" Target="https://www.aberdeenairport.com/media/242657/AIAL-Statutory-Accounts-2015.pdf" TargetMode="External"/><Relationship Id="rId144" Type="http://schemas.openxmlformats.org/officeDocument/2006/relationships/hyperlink" Target="http://www.aena.es/csee/Satellite/Accionistas/en/Page/1237572838468/1237568522644/" TargetMode="External"/><Relationship Id="rId90" Type="http://schemas.openxmlformats.org/officeDocument/2006/relationships/hyperlink" Target="https://www.ekapija.com/en/news/2328308/number-of-passengers-at-nikola-tesla-airport-increases-net-profit-in-first" TargetMode="External"/><Relationship Id="rId165" Type="http://schemas.openxmlformats.org/officeDocument/2006/relationships/hyperlink" Target="https://assets.ctfassets.net/v228i5y5k0x4/6nKbfG2HrgWPKFg7cvmr7B/b590dcb9ac7f438cc1537fa7da34ae18/Sydney_Airport_Annual_Report_April.pdf" TargetMode="External"/><Relationship Id="rId186" Type="http://schemas.openxmlformats.org/officeDocument/2006/relationships/hyperlink" Target="https://www.vinci.com/commun/presentations.nsf/FECE479F196DF4B9C125839800598ABB/%24file/VINCI_2018-full-years-results.pdf" TargetMode="External"/><Relationship Id="rId211" Type="http://schemas.openxmlformats.org/officeDocument/2006/relationships/hyperlink" Target="https://dpi.gov.gy/cjia-saw-14-percent-increase-in-arrivals-in-2017/" TargetMode="External"/><Relationship Id="rId232" Type="http://schemas.openxmlformats.org/officeDocument/2006/relationships/hyperlink" Target="https://www.mccarran.com/fsweb/assets/Business/Finance/Annual-Report-2018/FY2018-CAFR-Financial-Report.pdf" TargetMode="External"/><Relationship Id="rId27" Type="http://schemas.openxmlformats.org/officeDocument/2006/relationships/hyperlink" Target="http://cial.aero/userfiles/AnnualReport/CIAL_AnnualReport2017_18.pdf" TargetMode="External"/><Relationship Id="rId48" Type="http://schemas.openxmlformats.org/officeDocument/2006/relationships/hyperlink" Target="http://www.shclearing.com/xxpl/cwbg/nb/201804/t20180429_376850.html" TargetMode="External"/><Relationship Id="rId69" Type="http://schemas.openxmlformats.org/officeDocument/2006/relationships/hyperlink" Target="https://www.vedomosti.ru/finance/articles/2018/10/15/783616-sberbank-ostanetsya" TargetMode="External"/><Relationship Id="rId113" Type="http://schemas.openxmlformats.org/officeDocument/2006/relationships/hyperlink" Target="http://www.toulouse.aeroport.fr/sites/default/files/contrib/societe/lasociete/atb_ra_2017_en.pdf" TargetMode="External"/><Relationship Id="rId134" Type="http://schemas.openxmlformats.org/officeDocument/2006/relationships/hyperlink" Target="https://www.gatwickairport.com/globalassets/business--community/investors/march-2019/ivy-holdco-limited-consolidated-financial-statements-31-march-2019.pdf" TargetMode="External"/><Relationship Id="rId80" Type="http://schemas.openxmlformats.org/officeDocument/2006/relationships/hyperlink" Target="http://www.tavyatirimciiliskileri.com/en-EN/Lists/Financial%20Statement/Attachments/109/TAVHL_12M18_Announcement_13Feb2019.pdf" TargetMode="External"/><Relationship Id="rId155" Type="http://schemas.openxmlformats.org/officeDocument/2006/relationships/hyperlink" Target="https://webtools.bequoted.com/news/post?key=year-end-report-2018-69056&amp;channel=253&amp;ecss=" TargetMode="External"/><Relationship Id="rId176" Type="http://schemas.openxmlformats.org/officeDocument/2006/relationships/hyperlink" Target="https://cats.airports.faa.gov/Reports/reports.cfm" TargetMode="External"/><Relationship Id="rId197" Type="http://schemas.openxmlformats.org/officeDocument/2006/relationships/hyperlink" Target="http://www.viracopos.com/comunicadosdiversos/REL-0509_ABV_ADC_31-12-18_Versao_Assinada.pdf" TargetMode="External"/><Relationship Id="rId201" Type="http://schemas.openxmlformats.org/officeDocument/2006/relationships/hyperlink" Target="http://www.viracopos.com/comunicadosdiversos/REL-0509_ABV_ADC_31-12-18_Versao_Assinada.pdf" TargetMode="External"/><Relationship Id="rId222" Type="http://schemas.openxmlformats.org/officeDocument/2006/relationships/hyperlink" Target="http://www.yytannualreport.com/" TargetMode="External"/><Relationship Id="rId243" Type="http://schemas.openxmlformats.org/officeDocument/2006/relationships/hyperlink" Target="https://cats.airports.faa.gov/"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4C17-67F4-4742-8B19-6D101CE40EBA}">
  <dimension ref="A1:R250"/>
  <sheetViews>
    <sheetView workbookViewId="0">
      <selection activeCell="H30" sqref="H30"/>
    </sheetView>
  </sheetViews>
  <sheetFormatPr defaultRowHeight="15" x14ac:dyDescent="0.25"/>
  <cols>
    <col min="2" max="2" width="32.5703125" customWidth="1"/>
    <col min="3" max="3" width="33.5703125" customWidth="1"/>
    <col min="4" max="4" width="11.140625" customWidth="1"/>
    <col min="5" max="6" width="33.5703125" customWidth="1"/>
    <col min="7" max="7" width="24.140625" customWidth="1"/>
    <col min="8" max="8" width="25.28515625" customWidth="1"/>
    <col min="9" max="9" width="19.140625" customWidth="1"/>
    <col min="10" max="10" width="18" customWidth="1"/>
    <col min="11" max="11" width="22.28515625" customWidth="1"/>
    <col min="12" max="12" width="16.85546875" customWidth="1"/>
    <col min="13" max="13" width="12.28515625" customWidth="1"/>
    <col min="15" max="15" width="15.42578125" customWidth="1"/>
  </cols>
  <sheetData>
    <row r="1" spans="1:18" x14ac:dyDescent="0.25">
      <c r="A1" s="1" t="s">
        <v>8</v>
      </c>
      <c r="B1" s="1" t="s">
        <v>7</v>
      </c>
      <c r="C1" s="1" t="s">
        <v>9</v>
      </c>
      <c r="D1" s="1" t="s">
        <v>10</v>
      </c>
      <c r="E1" s="1" t="s">
        <v>15</v>
      </c>
      <c r="F1" s="1" t="s">
        <v>11</v>
      </c>
      <c r="G1" s="1" t="s">
        <v>519</v>
      </c>
      <c r="H1" s="1" t="s">
        <v>520</v>
      </c>
      <c r="I1" s="1" t="s">
        <v>521</v>
      </c>
      <c r="J1" s="1" t="s">
        <v>522</v>
      </c>
      <c r="K1" s="1" t="s">
        <v>523</v>
      </c>
      <c r="L1" s="1" t="s">
        <v>55</v>
      </c>
      <c r="M1" s="1" t="s">
        <v>525</v>
      </c>
      <c r="N1" s="1" t="s">
        <v>524</v>
      </c>
      <c r="O1" s="1" t="s">
        <v>4</v>
      </c>
      <c r="P1" s="1" t="s">
        <v>2</v>
      </c>
      <c r="Q1" s="1" t="s">
        <v>3</v>
      </c>
      <c r="R1" s="1" t="s">
        <v>5</v>
      </c>
    </row>
    <row r="2" spans="1:18" x14ac:dyDescent="0.25">
      <c r="A2" s="46" t="str">
        <f>Sheet2!A2</f>
        <v>Africa</v>
      </c>
      <c r="B2" s="46" t="str">
        <f>Sheet2!C2</f>
        <v>Ghana Airports Company</v>
      </c>
      <c r="C2" s="46" t="str">
        <f>Sheet2!D2</f>
        <v>Year Ending 2016</v>
      </c>
      <c r="D2" s="46" t="str">
        <f>Sheet2!E2</f>
        <v>GHS</v>
      </c>
      <c r="E2" s="46">
        <f>Sheet2!F2</f>
        <v>0.23388530499999999</v>
      </c>
      <c r="F2" s="35">
        <f>Sheet2!G2</f>
        <v>2381917</v>
      </c>
      <c r="G2" s="12">
        <f>Sheet2!J2</f>
        <v>407001000</v>
      </c>
      <c r="H2" s="21">
        <f>Sheet2!R2</f>
        <v>90264000</v>
      </c>
      <c r="I2" s="21">
        <f>Sheet2!AH2</f>
        <v>198956000</v>
      </c>
      <c r="J2" s="12">
        <f>Sheet2!AQ2</f>
        <v>0</v>
      </c>
      <c r="K2" s="12">
        <f>Sheet2!AT2</f>
        <v>144575000</v>
      </c>
      <c r="L2" s="21">
        <f>Sheet2!AV2</f>
        <v>154025000</v>
      </c>
      <c r="M2" t="s">
        <v>526</v>
      </c>
    </row>
    <row r="3" spans="1:18" x14ac:dyDescent="0.25">
      <c r="A3" s="46" t="str">
        <f>Sheet2!A3</f>
        <v>Africa</v>
      </c>
      <c r="B3" s="46" t="str">
        <f>Sheet2!C3</f>
        <v>SOGEAC (Conakry Airport)</v>
      </c>
      <c r="C3" s="46" t="str">
        <f>Sheet2!D3</f>
        <v>Year Ending Dec 2016</v>
      </c>
      <c r="D3" s="46" t="str">
        <f>Sheet2!E3</f>
        <v>GNF</v>
      </c>
      <c r="E3" s="46">
        <f>Sheet2!F3</f>
        <v>1.067464E-4</v>
      </c>
      <c r="F3" s="35">
        <f>Sheet2!G3</f>
        <v>396300</v>
      </c>
      <c r="G3" s="12">
        <f>Sheet2!J3</f>
        <v>121960155262</v>
      </c>
      <c r="H3" s="21">
        <f>Sheet2!R3</f>
        <v>0</v>
      </c>
      <c r="I3" s="21">
        <f>Sheet2!AH3</f>
        <v>0</v>
      </c>
      <c r="J3" s="12">
        <f>Sheet2!AQ3</f>
        <v>0</v>
      </c>
      <c r="K3" s="12">
        <f>Sheet2!AT3</f>
        <v>0</v>
      </c>
      <c r="L3" s="21">
        <f>Sheet2!AV3</f>
        <v>12198018687</v>
      </c>
    </row>
    <row r="4" spans="1:18" x14ac:dyDescent="0.25">
      <c r="A4" s="46" t="str">
        <f>Sheet2!A4</f>
        <v>Africa</v>
      </c>
      <c r="B4" s="46" t="str">
        <f>Sheet2!C4</f>
        <v>Kenya Airports Company</v>
      </c>
      <c r="C4" s="46" t="str">
        <f>Sheet2!D4</f>
        <v>Year Ending June 2017</v>
      </c>
      <c r="D4" s="46" t="str">
        <f>Sheet2!E4</f>
        <v>KES</v>
      </c>
      <c r="E4" s="46">
        <f>Sheet2!F4</f>
        <v>9.8916640999999993E-3</v>
      </c>
      <c r="F4" s="35">
        <f>Sheet2!G4</f>
        <v>0</v>
      </c>
      <c r="G4" s="12">
        <f>Sheet2!J4</f>
        <v>15900000000</v>
      </c>
      <c r="H4" s="21">
        <f>Sheet2!R4</f>
        <v>15899210000</v>
      </c>
      <c r="I4" s="21">
        <f>Sheet2!AH4</f>
        <v>10931000000</v>
      </c>
      <c r="J4" s="12">
        <f>Sheet2!AQ4</f>
        <v>0</v>
      </c>
      <c r="K4" s="12">
        <f>Sheet2!AT4</f>
        <v>5750000000</v>
      </c>
      <c r="L4" s="21">
        <f>Sheet2!AV4</f>
        <v>5255787000</v>
      </c>
    </row>
    <row r="5" spans="1:18" x14ac:dyDescent="0.25">
      <c r="A5" s="46" t="str">
        <f>Sheet2!A5</f>
        <v>Africa</v>
      </c>
      <c r="B5" s="46" t="str">
        <f>Sheet2!C5</f>
        <v>Kenya Airports Company (Jomo Kenyatta International)</v>
      </c>
      <c r="C5" s="46" t="str">
        <f>Sheet2!D5</f>
        <v xml:space="preserve"> </v>
      </c>
      <c r="D5" s="46" t="str">
        <f>Sheet2!E5</f>
        <v>KES</v>
      </c>
      <c r="E5" s="46">
        <f>Sheet2!F5</f>
        <v>9.7828211999999998E-3</v>
      </c>
      <c r="F5" s="35">
        <f>Sheet2!G5</f>
        <v>7112000</v>
      </c>
      <c r="G5" s="12" t="str">
        <f>Sheet2!J5</f>
        <v>-</v>
      </c>
      <c r="H5" s="21">
        <f>Sheet2!R5</f>
        <v>2700000000</v>
      </c>
      <c r="I5" s="21">
        <f>Sheet2!AH5</f>
        <v>0</v>
      </c>
      <c r="J5" s="12">
        <f>Sheet2!AQ5</f>
        <v>0</v>
      </c>
      <c r="K5" s="12">
        <f>Sheet2!AT5</f>
        <v>0</v>
      </c>
      <c r="L5" s="21">
        <f>Sheet2!AV5</f>
        <v>0</v>
      </c>
    </row>
    <row r="6" spans="1:18" x14ac:dyDescent="0.25">
      <c r="A6" s="46" t="str">
        <f>Sheet2!A6</f>
        <v>Africa</v>
      </c>
      <c r="B6" s="46" t="str">
        <f>Sheet2!C6</f>
        <v>Aeroportos de Mocambique</v>
      </c>
      <c r="C6" s="46" t="str">
        <f>Sheet2!D6</f>
        <v>Year Ending Dec 2016</v>
      </c>
      <c r="D6" s="46" t="str">
        <f>Sheet2!E6</f>
        <v>MZN</v>
      </c>
      <c r="E6" s="46">
        <f>Sheet2!F6</f>
        <v>1.4039027799999999E-2</v>
      </c>
      <c r="F6" s="35">
        <f>Sheet2!G6</f>
        <v>1900000</v>
      </c>
      <c r="G6" s="12">
        <f>Sheet2!J6</f>
        <v>2756739000</v>
      </c>
      <c r="H6" s="21">
        <f>Sheet2!R6</f>
        <v>0</v>
      </c>
      <c r="I6" s="21">
        <f>Sheet2!AH6</f>
        <v>2092252981</v>
      </c>
      <c r="J6" s="12">
        <f>Sheet2!AQ6</f>
        <v>999293659</v>
      </c>
      <c r="K6" s="12">
        <f>Sheet2!AT6</f>
        <v>109978069</v>
      </c>
      <c r="L6" s="21">
        <f>Sheet2!AV6</f>
        <v>-7658081101</v>
      </c>
    </row>
    <row r="7" spans="1:18" x14ac:dyDescent="0.25">
      <c r="A7" s="46" t="str">
        <f>Sheet2!A7</f>
        <v>Africa</v>
      </c>
      <c r="B7" s="46" t="str">
        <f>Sheet2!C7</f>
        <v>Namibia Airports Company</v>
      </c>
      <c r="C7" s="46" t="str">
        <f>Sheet2!D7</f>
        <v>Year Ending March 2016</v>
      </c>
      <c r="D7" s="46" t="str">
        <f>Sheet2!E7</f>
        <v>NAD</v>
      </c>
      <c r="E7" s="46">
        <f>Sheet2!F7</f>
        <v>6.7970534200000002E-2</v>
      </c>
      <c r="F7" s="35">
        <f>Sheet2!G7</f>
        <v>1011955</v>
      </c>
      <c r="G7" s="12">
        <f>Sheet2!J7</f>
        <v>222974319</v>
      </c>
      <c r="H7" s="21">
        <f>Sheet2!R7</f>
        <v>51284093.370000005</v>
      </c>
      <c r="I7" s="21">
        <f>Sheet2!AH7</f>
        <v>282016597</v>
      </c>
      <c r="J7" s="12">
        <f>Sheet2!AQ7</f>
        <v>8700000</v>
      </c>
      <c r="K7" s="12">
        <f>Sheet2!AT7</f>
        <v>-72322401</v>
      </c>
      <c r="L7" s="21">
        <f>Sheet2!AV7</f>
        <v>12650783</v>
      </c>
    </row>
    <row r="8" spans="1:18" x14ac:dyDescent="0.25">
      <c r="A8" s="46" t="str">
        <f>Sheet2!A8</f>
        <v>Africa</v>
      </c>
      <c r="B8" s="46" t="str">
        <f>Sheet2!C8</f>
        <v>Federal Airports Authority of Nigeria</v>
      </c>
      <c r="C8" s="46" t="str">
        <f>Sheet2!D8</f>
        <v>Year Ending Dec 2017</v>
      </c>
      <c r="D8" s="46" t="str">
        <f>Sheet2!E8</f>
        <v>NGN</v>
      </c>
      <c r="E8" s="46">
        <f>Sheet2!F8</f>
        <v>2.7777797E-3</v>
      </c>
      <c r="F8" s="35">
        <f>Sheet2!G8</f>
        <v>13394945</v>
      </c>
      <c r="G8" s="12">
        <f>Sheet2!J8</f>
        <v>0</v>
      </c>
      <c r="H8" s="21">
        <f>Sheet2!R8</f>
        <v>0</v>
      </c>
      <c r="I8" s="21">
        <f>Sheet2!AH8</f>
        <v>0</v>
      </c>
      <c r="J8" s="12">
        <f>Sheet2!AQ8</f>
        <v>0</v>
      </c>
      <c r="K8" s="12">
        <f>Sheet2!AT8</f>
        <v>0</v>
      </c>
      <c r="L8" s="21">
        <f>Sheet2!AV8</f>
        <v>0</v>
      </c>
    </row>
    <row r="9" spans="1:18" x14ac:dyDescent="0.25">
      <c r="A9" s="46" t="str">
        <f>Sheet2!A9</f>
        <v>Africa</v>
      </c>
      <c r="B9" s="46" t="str">
        <f>Sheet2!C9</f>
        <v>Seychelles Civil Aviation Authority</v>
      </c>
      <c r="C9" s="46" t="str">
        <f>Sheet2!D9</f>
        <v>Year Ending Dec 2017</v>
      </c>
      <c r="D9" s="46" t="str">
        <f>Sheet2!E9</f>
        <v>SCR</v>
      </c>
      <c r="E9" s="46">
        <f>Sheet2!F9</f>
        <v>7.1170347800000006E-2</v>
      </c>
      <c r="F9" s="35">
        <f>Sheet2!G9</f>
        <v>691774</v>
      </c>
      <c r="G9" s="12">
        <f>Sheet2!J9</f>
        <v>448748244</v>
      </c>
      <c r="H9" s="21">
        <f>Sheet2!R9</f>
        <v>41403231</v>
      </c>
      <c r="I9" s="21">
        <f>Sheet2!AH9</f>
        <v>275941595</v>
      </c>
      <c r="J9" s="12">
        <f>Sheet2!AQ9</f>
        <v>209940574</v>
      </c>
      <c r="K9" s="12">
        <f>Sheet2!AT9</f>
        <v>172806649</v>
      </c>
      <c r="L9" s="21">
        <f>Sheet2!AV9</f>
        <v>125621263</v>
      </c>
    </row>
    <row r="10" spans="1:18" x14ac:dyDescent="0.25">
      <c r="A10" s="46" t="str">
        <f>Sheet2!A10</f>
        <v>Africa</v>
      </c>
      <c r="B10" s="46" t="str">
        <f>Sheet2!C10</f>
        <v>Airports Company South Africa</v>
      </c>
      <c r="C10" s="46" t="str">
        <f>Sheet2!D10</f>
        <v>Year Ending March 2018</v>
      </c>
      <c r="D10" s="46" t="str">
        <f>Sheet2!E10</f>
        <v>ZAR</v>
      </c>
      <c r="E10" s="46">
        <f>Sheet2!F10</f>
        <v>7.4476800900000001E-2</v>
      </c>
      <c r="F10" s="35">
        <f>Sheet2!G10</f>
        <v>41500000</v>
      </c>
      <c r="G10" s="12">
        <f>Sheet2!J10</f>
        <v>6906047000</v>
      </c>
      <c r="H10" s="21">
        <f>Sheet2!R10</f>
        <v>3322181000</v>
      </c>
      <c r="I10" s="21">
        <f>Sheet2!AH10</f>
        <v>2438975000</v>
      </c>
      <c r="J10" s="12">
        <f>Sheet2!AQ10</f>
        <v>3084024000</v>
      </c>
      <c r="K10" s="12">
        <f>Sheet2!AT10</f>
        <v>1301430000</v>
      </c>
      <c r="L10" s="21">
        <f>Sheet2!AV10</f>
        <v>842511000</v>
      </c>
      <c r="O10" t="s">
        <v>6</v>
      </c>
    </row>
    <row r="11" spans="1:18" x14ac:dyDescent="0.25">
      <c r="A11" s="46" t="str">
        <f>Sheet2!A11</f>
        <v>Africa</v>
      </c>
      <c r="B11" s="46" t="str">
        <f>Sheet2!C11</f>
        <v>Gateway Airports Authority Limited</v>
      </c>
      <c r="C11" s="46" t="str">
        <f>Sheet2!D11</f>
        <v>Year Ending March 2017</v>
      </c>
      <c r="D11" s="46" t="str">
        <f>Sheet2!E11</f>
        <v>ZAR</v>
      </c>
      <c r="E11" s="46">
        <f>Sheet2!F11</f>
        <v>7.4476800900000001E-2</v>
      </c>
      <c r="F11" s="35">
        <f>Sheet2!G11</f>
        <v>63635</v>
      </c>
      <c r="G11" s="12">
        <f>Sheet2!J11</f>
        <v>15414995</v>
      </c>
      <c r="H11" s="21">
        <f>Sheet2!R11</f>
        <v>4978052</v>
      </c>
      <c r="I11" s="21">
        <f>Sheet2!AH11</f>
        <v>72736258</v>
      </c>
      <c r="J11" s="12">
        <f>Sheet2!AQ11</f>
        <v>0</v>
      </c>
      <c r="K11" s="12">
        <f>Sheet2!AT11</f>
        <v>-12718084</v>
      </c>
      <c r="L11" s="21">
        <f>Sheet2!AV11</f>
        <v>-12330393</v>
      </c>
    </row>
    <row r="12" spans="1:18" x14ac:dyDescent="0.25">
      <c r="A12" s="46" t="str">
        <f>Sheet2!A12</f>
        <v>Africa</v>
      </c>
      <c r="B12" s="46" t="str">
        <f>Sheet2!C12</f>
        <v>Tanzania Airports Authority</v>
      </c>
      <c r="C12" s="46" t="str">
        <f>Sheet2!D12</f>
        <v>Year Ending June 2018</v>
      </c>
      <c r="D12" s="46" t="str">
        <f>Sheet2!E12</f>
        <v>TZS</v>
      </c>
      <c r="E12" s="46">
        <f>Sheet2!F12</f>
        <v>4.4669019999999998E-4</v>
      </c>
      <c r="F12" s="35">
        <f>Sheet2!G12</f>
        <v>3370000</v>
      </c>
      <c r="G12" s="12">
        <f>Sheet2!J12</f>
        <v>103300000000</v>
      </c>
      <c r="H12" s="21">
        <f>Sheet2!R12</f>
        <v>22519400000</v>
      </c>
      <c r="I12" s="21">
        <f>Sheet2!AH12</f>
        <v>0</v>
      </c>
      <c r="J12" s="12">
        <f>Sheet2!AQ12</f>
        <v>0</v>
      </c>
      <c r="K12" s="12">
        <f>Sheet2!AT12</f>
        <v>0</v>
      </c>
      <c r="L12" s="21">
        <f>Sheet2!AV12</f>
        <v>0</v>
      </c>
    </row>
    <row r="13" spans="1:18" x14ac:dyDescent="0.25">
      <c r="A13" s="46" t="str">
        <f>Sheet2!A13</f>
        <v>Africa</v>
      </c>
      <c r="B13" s="46" t="str">
        <f>Sheet2!C13</f>
        <v>Zambia Airports Corporation Ltd</v>
      </c>
      <c r="C13" s="46" t="str">
        <f>Sheet2!D13</f>
        <v xml:space="preserve"> Year Ending Dec 2016</v>
      </c>
      <c r="D13" s="46" t="str">
        <f>Sheet2!E13</f>
        <v>ZMW</v>
      </c>
      <c r="E13" s="46">
        <f>Sheet2!F13</f>
        <v>0.10042</v>
      </c>
      <c r="F13" s="35">
        <f>Sheet2!G13</f>
        <v>1622263</v>
      </c>
      <c r="G13" s="12">
        <f>Sheet2!J13</f>
        <v>416319596</v>
      </c>
      <c r="H13" s="21">
        <f>Sheet2!R13</f>
        <v>24599404</v>
      </c>
      <c r="I13" s="21">
        <f>Sheet2!AH13</f>
        <v>333345166</v>
      </c>
      <c r="J13" s="12">
        <f>Sheet2!AQ13</f>
        <v>119204656</v>
      </c>
      <c r="K13" s="12">
        <f>Sheet2!AT13</f>
        <v>82974430</v>
      </c>
      <c r="L13" s="21">
        <f>Sheet2!AV13</f>
        <v>41484269</v>
      </c>
    </row>
    <row r="14" spans="1:18" x14ac:dyDescent="0.25">
      <c r="A14" s="46" t="str">
        <f>Sheet2!A14</f>
        <v>North Africa</v>
      </c>
      <c r="B14" s="46" t="str">
        <f>Sheet2!C14</f>
        <v>ONDA</v>
      </c>
      <c r="C14" s="46" t="str">
        <f>Sheet2!D14</f>
        <v>Year Ending Dec 2017</v>
      </c>
      <c r="D14" s="46" t="str">
        <f>Sheet2!E14</f>
        <v>MAD</v>
      </c>
      <c r="E14" s="46">
        <f>Sheet2!F14</f>
        <v>0.1069421154</v>
      </c>
      <c r="F14" s="35">
        <f>Sheet2!G14</f>
        <v>20357866</v>
      </c>
      <c r="G14" s="12">
        <f>Sheet2!J14</f>
        <v>3747836111</v>
      </c>
      <c r="H14" s="21">
        <f>Sheet2!R14</f>
        <v>729308648.62702703</v>
      </c>
      <c r="I14" s="21">
        <f>Sheet2!AH14</f>
        <v>2431044211</v>
      </c>
      <c r="J14" s="12">
        <f>Sheet2!AQ14</f>
        <v>0</v>
      </c>
      <c r="K14" s="12">
        <f>Sheet2!AT14</f>
        <v>0</v>
      </c>
      <c r="L14" s="21">
        <f>Sheet2!AV14</f>
        <v>0</v>
      </c>
    </row>
    <row r="15" spans="1:18" x14ac:dyDescent="0.25">
      <c r="A15" s="46" t="str">
        <f>Sheet2!A15</f>
        <v>North Africa</v>
      </c>
      <c r="B15" s="46" t="str">
        <f>Sheet2!C15</f>
        <v>TAV Tunisie</v>
      </c>
      <c r="C15" s="46" t="str">
        <f>Sheet2!D15</f>
        <v>Year Ending Dec 2018</v>
      </c>
      <c r="D15" s="46" t="str">
        <f>Sheet2!E15</f>
        <v>EUR</v>
      </c>
      <c r="E15" s="46">
        <f>Sheet2!F15</f>
        <v>1.1998614888000001</v>
      </c>
      <c r="F15" s="35">
        <f>Sheet2!G15</f>
        <v>2490000</v>
      </c>
      <c r="G15" s="12">
        <f>Sheet2!J15</f>
        <v>32700000</v>
      </c>
      <c r="H15" s="21">
        <f>Sheet2!R15</f>
        <v>0</v>
      </c>
      <c r="I15" s="21">
        <f>Sheet2!AH15</f>
        <v>0</v>
      </c>
      <c r="J15" s="12">
        <f>Sheet2!AQ15</f>
        <v>8900000</v>
      </c>
      <c r="K15" s="12">
        <f>Sheet2!AT15</f>
        <v>0</v>
      </c>
      <c r="L15" s="21">
        <f>Sheet2!AV15</f>
        <v>0</v>
      </c>
    </row>
    <row r="16" spans="1:18" x14ac:dyDescent="0.25">
      <c r="A16" s="46" t="str">
        <f>Sheet2!A16</f>
        <v>North Africa</v>
      </c>
      <c r="B16" s="46" t="str">
        <f>Sheet2!C16</f>
        <v>Cairo Airport Company</v>
      </c>
      <c r="C16" s="46" t="str">
        <f>Sheet2!D16</f>
        <v>Year Ending Dec 2015</v>
      </c>
      <c r="D16" s="46" t="str">
        <f>Sheet2!E16</f>
        <v>EGP</v>
      </c>
      <c r="E16" s="46">
        <f>Sheet2!F16</f>
        <v>0.12779552720000001</v>
      </c>
      <c r="F16" s="35">
        <f>Sheet2!G16</f>
        <v>14059891</v>
      </c>
      <c r="G16" s="12">
        <f>Sheet2!J16</f>
        <v>2632000000</v>
      </c>
      <c r="H16" s="21">
        <f>Sheet2!R16</f>
        <v>0</v>
      </c>
      <c r="I16" s="21">
        <f>Sheet2!AH16</f>
        <v>0</v>
      </c>
      <c r="J16" s="12">
        <f>Sheet2!AQ16</f>
        <v>0</v>
      </c>
      <c r="K16" s="12">
        <f>Sheet2!AT16</f>
        <v>0</v>
      </c>
      <c r="L16" s="21">
        <f>Sheet2!AV16</f>
        <v>433000000</v>
      </c>
    </row>
    <row r="17" spans="1:12" x14ac:dyDescent="0.25">
      <c r="A17" s="46" t="str">
        <f>Sheet2!A17</f>
        <v>Middle East</v>
      </c>
      <c r="B17" s="46" t="str">
        <f>Sheet2!C17</f>
        <v>Bahrain Airport Company</v>
      </c>
      <c r="C17" s="46" t="str">
        <f>Sheet2!D17</f>
        <v>Year Ending Dec 2017</v>
      </c>
      <c r="D17" s="46" t="str">
        <f>Sheet2!E17</f>
        <v>BHD</v>
      </c>
      <c r="E17" s="46">
        <f>Sheet2!F17</f>
        <v>2.6595744681000002</v>
      </c>
      <c r="F17" s="35">
        <f>Sheet2!G17</f>
        <v>8477331</v>
      </c>
      <c r="G17" s="12">
        <f>Sheet2!J17</f>
        <v>42000000</v>
      </c>
      <c r="H17" s="21">
        <f>Sheet2!R17</f>
        <v>0</v>
      </c>
      <c r="I17" s="21">
        <f>Sheet2!AH17</f>
        <v>0</v>
      </c>
      <c r="J17" s="12">
        <f>Sheet2!AQ17</f>
        <v>0</v>
      </c>
      <c r="K17" s="12">
        <f>Sheet2!AT17</f>
        <v>0</v>
      </c>
      <c r="L17" s="21">
        <f>Sheet2!AV17</f>
        <v>12900000</v>
      </c>
    </row>
    <row r="18" spans="1:12" x14ac:dyDescent="0.25">
      <c r="A18" s="46" t="str">
        <f>Sheet2!A18</f>
        <v>Middle East</v>
      </c>
      <c r="B18" s="46" t="str">
        <f>Sheet2!C18</f>
        <v>Israel Airports  Authority</v>
      </c>
      <c r="C18" s="46" t="str">
        <f>Sheet2!D18</f>
        <v>Year Ending Dec 2017</v>
      </c>
      <c r="D18" s="46" t="str">
        <f>Sheet2!E18</f>
        <v>NIS</v>
      </c>
      <c r="E18" s="46">
        <f>Sheet2!F18</f>
        <v>0.28719135820000002</v>
      </c>
      <c r="F18" s="35">
        <f>Sheet2!G18</f>
        <v>20463000</v>
      </c>
      <c r="G18" s="12">
        <f>Sheet2!J18</f>
        <v>3715000000</v>
      </c>
      <c r="H18" s="21">
        <f>Sheet2!R18</f>
        <v>0</v>
      </c>
      <c r="I18" s="21">
        <f>Sheet2!AH18</f>
        <v>0</v>
      </c>
      <c r="J18" s="12">
        <f>Sheet2!AQ18</f>
        <v>0</v>
      </c>
      <c r="K18" s="12">
        <f>Sheet2!AT18</f>
        <v>0</v>
      </c>
      <c r="L18" s="21">
        <f>Sheet2!AV18</f>
        <v>0</v>
      </c>
    </row>
    <row r="19" spans="1:12" x14ac:dyDescent="0.25">
      <c r="A19" s="46" t="str">
        <f>Sheet2!A19</f>
        <v>Middle East</v>
      </c>
      <c r="B19" s="46" t="str">
        <f>Sheet2!C19</f>
        <v>Airport International Group</v>
      </c>
      <c r="C19" s="46" t="str">
        <f>Sheet2!D19</f>
        <v>Year Ending Dec 2017</v>
      </c>
      <c r="D19" s="46" t="str">
        <f>Sheet2!E19</f>
        <v>EUR</v>
      </c>
      <c r="E19" s="46">
        <f>Sheet2!F19</f>
        <v>1.1998614888000001</v>
      </c>
      <c r="F19" s="35">
        <f>Sheet2!G19</f>
        <v>7914704</v>
      </c>
      <c r="G19" s="12" t="str">
        <f>Sheet2!J19</f>
        <v>-</v>
      </c>
      <c r="H19" s="21">
        <f>Sheet2!R19</f>
        <v>0</v>
      </c>
      <c r="I19" s="21">
        <f>Sheet2!AH19</f>
        <v>0</v>
      </c>
      <c r="J19" s="12">
        <f>Sheet2!AQ19</f>
        <v>66300000</v>
      </c>
      <c r="K19" s="12">
        <f>Sheet2!AT19</f>
        <v>0</v>
      </c>
      <c r="L19" s="21">
        <f>Sheet2!AV19</f>
        <v>0</v>
      </c>
    </row>
    <row r="20" spans="1:12" x14ac:dyDescent="0.25">
      <c r="A20" s="46" t="str">
        <f>Sheet2!A20</f>
        <v>Middle East</v>
      </c>
      <c r="B20" s="46" t="str">
        <f>Sheet2!C20</f>
        <v>Govvernment of Yemen (Sayoun Airport)</v>
      </c>
      <c r="C20" s="46" t="str">
        <f>Sheet2!D20</f>
        <v>Year Ending Dec 2016</v>
      </c>
      <c r="D20" s="46" t="str">
        <f>Sheet2!E20</f>
        <v>YER</v>
      </c>
      <c r="E20" s="46">
        <f>Sheet2!F20</f>
        <v>4.0011203999999996E-3</v>
      </c>
      <c r="F20" s="35">
        <f>Sheet2!G20</f>
        <v>39808</v>
      </c>
      <c r="G20" s="12">
        <f>Sheet2!J20</f>
        <v>255000000</v>
      </c>
      <c r="H20" s="21">
        <f>Sheet2!R20</f>
        <v>0</v>
      </c>
      <c r="I20" s="21">
        <f>Sheet2!AH20</f>
        <v>0</v>
      </c>
      <c r="J20" s="12">
        <f>Sheet2!AQ20</f>
        <v>0</v>
      </c>
      <c r="K20" s="12">
        <f>Sheet2!AT20</f>
        <v>0</v>
      </c>
      <c r="L20" s="21">
        <f>Sheet2!AV20</f>
        <v>0</v>
      </c>
    </row>
    <row r="21" spans="1:12" x14ac:dyDescent="0.25">
      <c r="A21" s="46" t="str">
        <f>Sheet2!A21</f>
        <v>Middle East</v>
      </c>
      <c r="B21" s="46" t="str">
        <f>Sheet2!C21</f>
        <v>Tibah Consortium (Madinah Airport)</v>
      </c>
      <c r="C21" s="46" t="str">
        <f>Sheet2!D21</f>
        <v>Year Ending Dec 2018</v>
      </c>
      <c r="D21" s="46" t="str">
        <f>Sheet2!E21</f>
        <v>EUR</v>
      </c>
      <c r="E21" s="46">
        <f>Sheet2!F21</f>
        <v>1.1998614888000001</v>
      </c>
      <c r="F21" s="35">
        <f>Sheet2!G21</f>
        <v>8144000</v>
      </c>
      <c r="G21" s="12">
        <f>Sheet2!J21</f>
        <v>71200000</v>
      </c>
      <c r="H21" s="21">
        <f>Sheet2!R21</f>
        <v>0</v>
      </c>
      <c r="I21" s="21">
        <f>Sheet2!AH21</f>
        <v>0</v>
      </c>
      <c r="J21" s="12">
        <f>Sheet2!AQ21</f>
        <v>16400000</v>
      </c>
      <c r="K21" s="12">
        <f>Sheet2!AT21</f>
        <v>0</v>
      </c>
      <c r="L21" s="21">
        <f>Sheet2!AV21</f>
        <v>-8500000</v>
      </c>
    </row>
    <row r="22" spans="1:12" x14ac:dyDescent="0.25">
      <c r="A22" s="46" t="str">
        <f>Sheet2!A22</f>
        <v>Middle East</v>
      </c>
      <c r="B22" s="46" t="str">
        <f>Sheet2!C22</f>
        <v>GACA (Riyadh Airport)</v>
      </c>
      <c r="C22" s="46" t="str">
        <f>Sheet2!D22</f>
        <v>Year Ending Dec 2017</v>
      </c>
      <c r="D22" s="46" t="str">
        <f>Sheet2!E22</f>
        <v>SAR</v>
      </c>
      <c r="E22" s="46">
        <f>Sheet2!F22</f>
        <v>0.2666666667</v>
      </c>
      <c r="F22" s="35">
        <f>Sheet2!G22</f>
        <v>25425000</v>
      </c>
      <c r="G22" s="12">
        <f>Sheet2!J22</f>
        <v>3600000000</v>
      </c>
      <c r="H22" s="21">
        <f>Sheet2!R22</f>
        <v>0</v>
      </c>
      <c r="I22" s="21">
        <f>Sheet2!AH22</f>
        <v>0</v>
      </c>
      <c r="J22" s="12">
        <f>Sheet2!AQ22</f>
        <v>0</v>
      </c>
      <c r="K22" s="12">
        <f>Sheet2!AT22</f>
        <v>0</v>
      </c>
      <c r="L22" s="21">
        <f>Sheet2!AV22</f>
        <v>0</v>
      </c>
    </row>
    <row r="23" spans="1:12" x14ac:dyDescent="0.25">
      <c r="A23" s="46" t="str">
        <f>Sheet2!A23</f>
        <v>Middle East</v>
      </c>
      <c r="B23" s="46" t="str">
        <f>Sheet2!C23</f>
        <v>GACA (Jeddah Airport)</v>
      </c>
      <c r="C23" s="46" t="str">
        <f>Sheet2!D23</f>
        <v>Year Ending Dec 2017</v>
      </c>
      <c r="D23" s="46" t="str">
        <f>Sheet2!E23</f>
        <v>SAR</v>
      </c>
      <c r="E23" s="46">
        <f>Sheet2!F23</f>
        <v>0.2666666667</v>
      </c>
      <c r="F23" s="35">
        <f>Sheet2!G23</f>
        <v>34000000</v>
      </c>
      <c r="G23" s="12">
        <f>Sheet2!J23</f>
        <v>5300000000</v>
      </c>
      <c r="H23" s="21">
        <f>Sheet2!R23</f>
        <v>0</v>
      </c>
      <c r="I23" s="21">
        <f>Sheet2!AH23</f>
        <v>0</v>
      </c>
      <c r="J23" s="12">
        <f>Sheet2!AQ23</f>
        <v>0</v>
      </c>
      <c r="K23" s="12">
        <f>Sheet2!AT23</f>
        <v>0</v>
      </c>
      <c r="L23" s="21">
        <f>Sheet2!AV23</f>
        <v>0</v>
      </c>
    </row>
    <row r="24" spans="1:12" x14ac:dyDescent="0.25">
      <c r="A24" s="46" t="str">
        <f>Sheet2!A24</f>
        <v>South Asia</v>
      </c>
      <c r="B24" s="46" t="str">
        <f>Sheet2!C24</f>
        <v>Mumbai International Airport Pvt Ltd</v>
      </c>
      <c r="C24" s="46" t="str">
        <f>Sheet2!D24</f>
        <v>Year Ending March 2018</v>
      </c>
      <c r="D24" s="46" t="str">
        <f>Sheet2!E24</f>
        <v>INR</v>
      </c>
      <c r="E24" s="46">
        <f>Sheet2!F24</f>
        <v>1.5352355099999999E-2</v>
      </c>
      <c r="F24" s="35">
        <f>Sheet2!G24</f>
        <v>48500000</v>
      </c>
      <c r="G24" s="12">
        <f>Sheet2!J24</f>
        <v>33423200000</v>
      </c>
      <c r="H24" s="21">
        <f>Sheet2!R24</f>
        <v>0</v>
      </c>
      <c r="I24" s="21">
        <f>Sheet2!AH24</f>
        <v>0</v>
      </c>
      <c r="J24" s="12">
        <f>Sheet2!AQ24</f>
        <v>14071167200.000002</v>
      </c>
      <c r="K24" s="12">
        <f>Sheet2!AT24</f>
        <v>0</v>
      </c>
      <c r="L24" s="21">
        <f>Sheet2!AV24</f>
        <v>0</v>
      </c>
    </row>
    <row r="25" spans="1:12" x14ac:dyDescent="0.25">
      <c r="A25" s="46" t="str">
        <f>Sheet2!A25</f>
        <v>South Asia</v>
      </c>
      <c r="B25" s="46" t="str">
        <f>Sheet2!C25</f>
        <v>Cochin International Airport Limited</v>
      </c>
      <c r="C25" s="46" t="str">
        <f>Sheet2!D25</f>
        <v>Year  Ending March 2018</v>
      </c>
      <c r="D25" s="46" t="str">
        <f>Sheet2!E25</f>
        <v>INR</v>
      </c>
      <c r="E25" s="46">
        <f>Sheet2!F25</f>
        <v>1.5352355099999999E-2</v>
      </c>
      <c r="F25" s="35">
        <f>Sheet2!G25</f>
        <v>10119064</v>
      </c>
      <c r="G25" s="12">
        <f>Sheet2!J25</f>
        <v>6861039000</v>
      </c>
      <c r="H25" s="21">
        <f>Sheet2!R25</f>
        <v>3412933999.9999995</v>
      </c>
      <c r="I25" s="21">
        <f>Sheet2!AH25</f>
        <v>2690900000</v>
      </c>
      <c r="J25" s="12">
        <f>Sheet2!AQ25</f>
        <v>3879300000</v>
      </c>
      <c r="K25" s="12">
        <f>Sheet2!AT25</f>
        <v>2843300000</v>
      </c>
      <c r="L25" s="21">
        <f>Sheet2!AV25</f>
        <v>1584199999.9999998</v>
      </c>
    </row>
    <row r="26" spans="1:12" x14ac:dyDescent="0.25">
      <c r="A26" s="46" t="str">
        <f>Sheet2!A26</f>
        <v>South Asia</v>
      </c>
      <c r="B26" s="46" t="str">
        <f>Sheet2!C26</f>
        <v>GMR Hyderabad International Airport Limited</v>
      </c>
      <c r="C26" s="46" t="str">
        <f>Sheet2!D26</f>
        <v>Year Ending March 2018</v>
      </c>
      <c r="D26" s="46" t="str">
        <f>Sheet2!E26</f>
        <v>INR</v>
      </c>
      <c r="E26" s="46">
        <f>Sheet2!F26</f>
        <v>1.5352355099999999E-2</v>
      </c>
      <c r="F26" s="35">
        <f>Sheet2!G26</f>
        <v>18200000</v>
      </c>
      <c r="G26" s="12">
        <f>Sheet2!J26</f>
        <v>12466900000</v>
      </c>
      <c r="H26" s="21">
        <f>Sheet2!R26</f>
        <v>4411400000</v>
      </c>
      <c r="I26" s="21">
        <f>Sheet2!AH26</f>
        <v>5136100000</v>
      </c>
      <c r="J26" s="12">
        <f>Sheet2!AQ26</f>
        <v>9314700000</v>
      </c>
      <c r="K26" s="12">
        <f>Sheet2!AT26</f>
        <v>7330800000</v>
      </c>
      <c r="L26" s="21">
        <f>Sheet2!AV26</f>
        <v>6027000000</v>
      </c>
    </row>
    <row r="27" spans="1:12" x14ac:dyDescent="0.25">
      <c r="A27" s="46" t="str">
        <f>Sheet2!A27</f>
        <v>South Asia</v>
      </c>
      <c r="B27" s="46" t="str">
        <f>Sheet2!C27</f>
        <v>Airports Authority of India</v>
      </c>
      <c r="C27" s="46" t="str">
        <f>Sheet2!D27</f>
        <v>Year Ending March 2018</v>
      </c>
      <c r="D27" s="46" t="str">
        <f>Sheet2!E27</f>
        <v>INR</v>
      </c>
      <c r="E27" s="46">
        <f>Sheet2!F27</f>
        <v>1.54180824E-2</v>
      </c>
      <c r="F27" s="35">
        <f>Sheet2!G27</f>
        <v>308753400</v>
      </c>
      <c r="G27" s="12">
        <f>Sheet2!J27</f>
        <v>125420000000</v>
      </c>
      <c r="H27" s="21">
        <f>Sheet2!R27</f>
        <v>47889900000</v>
      </c>
      <c r="I27" s="21">
        <f>Sheet2!AH27</f>
        <v>85600200000</v>
      </c>
      <c r="J27" s="12">
        <f>Sheet2!AQ27</f>
        <v>54875800000</v>
      </c>
      <c r="K27" s="12">
        <f>Sheet2!AT27</f>
        <v>39819800000</v>
      </c>
      <c r="L27" s="21">
        <f>Sheet2!AV27</f>
        <v>28010000000</v>
      </c>
    </row>
    <row r="28" spans="1:12" x14ac:dyDescent="0.25">
      <c r="A28" s="46" t="str">
        <f>Sheet2!A28</f>
        <v>South Asia</v>
      </c>
      <c r="B28" s="46" t="str">
        <f>Sheet2!C28</f>
        <v>Chandigarh International Airport Limited</v>
      </c>
      <c r="C28" s="46" t="str">
        <f>Sheet2!D28</f>
        <v>Year Ending March 2018</v>
      </c>
      <c r="D28" s="46" t="str">
        <f>Sheet2!E28</f>
        <v>INR</v>
      </c>
      <c r="E28" s="46">
        <f>Sheet2!F28</f>
        <v>1.54180824E-2</v>
      </c>
      <c r="F28" s="35">
        <f>Sheet2!G28</f>
        <v>2058584.8871442587</v>
      </c>
      <c r="G28" s="12">
        <f>Sheet2!J28</f>
        <v>923512000</v>
      </c>
      <c r="H28" s="21">
        <f>Sheet2!R28</f>
        <v>273362000</v>
      </c>
      <c r="I28" s="21">
        <f>Sheet2!AH28</f>
        <v>754681000</v>
      </c>
      <c r="J28" s="12">
        <f>Sheet2!AQ28</f>
        <v>502130000</v>
      </c>
      <c r="K28" s="12">
        <f>Sheet2!AT28</f>
        <v>168831000</v>
      </c>
      <c r="L28" s="21">
        <f>Sheet2!AV28</f>
        <v>140648000</v>
      </c>
    </row>
    <row r="29" spans="1:12" x14ac:dyDescent="0.25">
      <c r="A29" s="46" t="str">
        <f>Sheet2!A29</f>
        <v>South Asia</v>
      </c>
      <c r="B29" s="46" t="str">
        <f>Sheet2!C29</f>
        <v>Delhi International Airport Limited</v>
      </c>
      <c r="C29" s="46" t="str">
        <f>Sheet2!D29</f>
        <v>Year Ending March 2018</v>
      </c>
      <c r="D29" s="46" t="str">
        <f>Sheet2!E29</f>
        <v>INR</v>
      </c>
      <c r="E29" s="46">
        <f>Sheet2!F29</f>
        <v>1.5352355099999999E-2</v>
      </c>
      <c r="F29" s="35">
        <f>Sheet2!G29</f>
        <v>65690000</v>
      </c>
      <c r="G29" s="12">
        <f>Sheet2!J29</f>
        <v>40428400000</v>
      </c>
      <c r="H29" s="21">
        <f>Sheet2!R29</f>
        <v>17990000000</v>
      </c>
      <c r="I29" s="21">
        <f>Sheet2!AH29</f>
        <v>35035200000</v>
      </c>
      <c r="J29" s="12">
        <f>Sheet2!AQ29</f>
        <v>11844500000</v>
      </c>
      <c r="K29" s="12">
        <f>Sheet2!AT29</f>
        <v>5385500000</v>
      </c>
      <c r="L29" s="21">
        <f>Sheet2!AV29</f>
        <v>382500000</v>
      </c>
    </row>
    <row r="30" spans="1:12" x14ac:dyDescent="0.25">
      <c r="A30" s="46" t="str">
        <f>Sheet2!A30</f>
        <v>South Asia</v>
      </c>
      <c r="B30" s="46" t="str">
        <f>Sheet2!C30</f>
        <v>Bangalore International  Airport Limited</v>
      </c>
      <c r="C30" s="46" t="str">
        <f>Sheet2!D30</f>
        <v>Year Ending March 2017</v>
      </c>
      <c r="D30" s="46" t="str">
        <f>Sheet2!E30</f>
        <v>INR</v>
      </c>
      <c r="E30" s="46">
        <f>Sheet2!F30</f>
        <v>1.54180824E-2</v>
      </c>
      <c r="F30" s="35">
        <f>Sheet2!G30</f>
        <v>22881410</v>
      </c>
      <c r="G30" s="12">
        <f>Sheet2!J30</f>
        <v>13143500000</v>
      </c>
      <c r="H30" s="21">
        <f>Sheet2!R30</f>
        <v>5027600000</v>
      </c>
      <c r="I30" s="21">
        <f>Sheet2!AH30</f>
        <v>5981400000</v>
      </c>
      <c r="J30" s="12">
        <f>Sheet2!AQ30</f>
        <v>9315400000</v>
      </c>
      <c r="K30" s="12">
        <f>Sheet2!AT30</f>
        <v>7162100000</v>
      </c>
      <c r="L30" s="21">
        <f>Sheet2!AV30</f>
        <v>5653800000</v>
      </c>
    </row>
    <row r="31" spans="1:12" x14ac:dyDescent="0.25">
      <c r="A31" s="46" t="str">
        <f>Sheet2!A31</f>
        <v>South Asia</v>
      </c>
      <c r="B31" s="46" t="str">
        <f>Sheet2!C31</f>
        <v>Civil Aviation Authority of Nepal (Tribhuvan International Airport)</v>
      </c>
      <c r="C31" s="46" t="str">
        <f>Sheet2!D31</f>
        <v>Year Ending July 2017</v>
      </c>
      <c r="D31" s="46" t="str">
        <f>Sheet2!E31</f>
        <v>NPR</v>
      </c>
      <c r="E31" s="46">
        <f>Sheet2!F31</f>
        <v>9.7471189000000007E-3</v>
      </c>
      <c r="F31" s="35">
        <f>Sheet2!G31</f>
        <v>3150000</v>
      </c>
      <c r="G31" s="12">
        <f>Sheet2!J31</f>
        <v>6628120000</v>
      </c>
      <c r="H31" s="21">
        <f>Sheet2!R31</f>
        <v>0</v>
      </c>
      <c r="I31" s="21">
        <f>Sheet2!AH31</f>
        <v>10057200000</v>
      </c>
      <c r="J31" s="12">
        <f>Sheet2!AQ31</f>
        <v>0</v>
      </c>
      <c r="K31" s="12">
        <f>Sheet2!AT31</f>
        <v>-3429080000</v>
      </c>
      <c r="L31" s="21">
        <f>Sheet2!AV31</f>
        <v>0</v>
      </c>
    </row>
    <row r="32" spans="1:12" x14ac:dyDescent="0.25">
      <c r="A32" s="46" t="str">
        <f>Sheet2!A32</f>
        <v>South Asia</v>
      </c>
      <c r="B32" s="46" t="str">
        <f>Sheet2!C32</f>
        <v>Airport and Aviation Services (Sri Lanka) Ltd</v>
      </c>
      <c r="C32" s="46" t="str">
        <f>Sheet2!D32</f>
        <v>Year Ending Dec 2018</v>
      </c>
      <c r="D32" s="46" t="str">
        <f>Sheet2!E32</f>
        <v>LKR</v>
      </c>
      <c r="E32" s="46">
        <f>Sheet2!F32</f>
        <v>6.5146609999999997E-3</v>
      </c>
      <c r="F32" s="35">
        <f>Sheet2!G32</f>
        <v>0</v>
      </c>
      <c r="G32" s="12">
        <f>Sheet2!J32</f>
        <v>0</v>
      </c>
      <c r="H32" s="21">
        <f>Sheet2!R32</f>
        <v>0</v>
      </c>
      <c r="I32" s="21">
        <f>Sheet2!AH32</f>
        <v>0</v>
      </c>
      <c r="J32" s="12">
        <f>Sheet2!AQ32</f>
        <v>0</v>
      </c>
      <c r="K32" s="12">
        <f>Sheet2!AT32</f>
        <v>0</v>
      </c>
      <c r="L32" s="21">
        <f>Sheet2!AV32</f>
        <v>0</v>
      </c>
    </row>
    <row r="33" spans="1:12" x14ac:dyDescent="0.25">
      <c r="A33" s="46" t="str">
        <f>Sheet2!A33</f>
        <v>Southeast Asia</v>
      </c>
      <c r="B33" s="46" t="str">
        <f>Sheet2!C33</f>
        <v>Angkasa Pura 1</v>
      </c>
      <c r="C33" s="46" t="str">
        <f>Sheet2!D33</f>
        <v>Year Ending Dec 2018</v>
      </c>
      <c r="D33" s="46" t="str">
        <f>Sheet2!E33</f>
        <v>IDR</v>
      </c>
      <c r="E33" s="46">
        <f>Sheet2!F33</f>
        <v>7.3681699999999996E-5</v>
      </c>
      <c r="F33" s="35">
        <f>Sheet2!G33</f>
        <v>96652313</v>
      </c>
      <c r="G33" s="12">
        <f>Sheet2!J33</f>
        <v>8521087310000</v>
      </c>
      <c r="H33" s="21">
        <f>Sheet2!R33</f>
        <v>3407438964000</v>
      </c>
      <c r="I33" s="21">
        <f>Sheet2!AH33</f>
        <v>5604292587000</v>
      </c>
      <c r="J33" s="12">
        <f>Sheet2!AQ33</f>
        <v>3939603803000</v>
      </c>
      <c r="K33" s="12">
        <f>Sheet2!AT33</f>
        <v>2916794723000</v>
      </c>
      <c r="L33" s="21">
        <f>Sheet2!AV33</f>
        <v>1934254000000</v>
      </c>
    </row>
    <row r="34" spans="1:12" x14ac:dyDescent="0.25">
      <c r="A34" s="46" t="str">
        <f>Sheet2!A34</f>
        <v>Southeast Asia</v>
      </c>
      <c r="B34" s="46" t="str">
        <f>Sheet2!C34</f>
        <v>Angkasa Pura 2</v>
      </c>
      <c r="C34" s="46" t="str">
        <f>Sheet2!D34</f>
        <v>Year Ending Dec 2018</v>
      </c>
      <c r="D34" s="46" t="str">
        <f>Sheet2!E34</f>
        <v>IDR</v>
      </c>
      <c r="E34" s="46">
        <f>Sheet2!F34</f>
        <v>7.3681699999999996E-5</v>
      </c>
      <c r="F34" s="35">
        <f>Sheet2!G34</f>
        <v>111454000</v>
      </c>
      <c r="G34" s="12">
        <f>Sheet2!J34</f>
        <v>9486850000000</v>
      </c>
      <c r="H34" s="21">
        <f>Sheet2!R34</f>
        <v>3476970000000</v>
      </c>
      <c r="I34" s="21">
        <f>Sheet2!AH34</f>
        <v>4364826769651</v>
      </c>
      <c r="J34" s="12">
        <f>Sheet2!AQ34</f>
        <v>0</v>
      </c>
      <c r="K34" s="12">
        <f>Sheet2!AT34</f>
        <v>3003740000000</v>
      </c>
      <c r="L34" s="21">
        <f>Sheet2!AV34</f>
        <v>1880800000000</v>
      </c>
    </row>
    <row r="35" spans="1:12" x14ac:dyDescent="0.25">
      <c r="A35" s="46" t="str">
        <f>Sheet2!A35</f>
        <v>Southeast Asia</v>
      </c>
      <c r="B35" s="46" t="str">
        <f>Sheet2!C35</f>
        <v>Batam Free Trade Zone Authority (BP Batam)</v>
      </c>
      <c r="C35" s="46" t="str">
        <f>Sheet2!D35</f>
        <v>Year Ending Dec 2016</v>
      </c>
      <c r="D35" s="46" t="str">
        <f>Sheet2!E35</f>
        <v>IDR</v>
      </c>
      <c r="E35" s="46">
        <f>Sheet2!F35</f>
        <v>7.4076800000000002E-5</v>
      </c>
      <c r="F35" s="35">
        <f>Sheet2!G35</f>
        <v>6100000</v>
      </c>
      <c r="G35" s="12">
        <f>Sheet2!J35</f>
        <v>180000000000</v>
      </c>
      <c r="H35" s="21">
        <f>Sheet2!R35</f>
        <v>0</v>
      </c>
      <c r="I35" s="21">
        <f>Sheet2!AH35</f>
        <v>0</v>
      </c>
      <c r="J35" s="12">
        <f>Sheet2!AQ35</f>
        <v>0</v>
      </c>
      <c r="K35" s="12">
        <f>Sheet2!AT35</f>
        <v>0</v>
      </c>
      <c r="L35" s="21">
        <f>Sheet2!AV35</f>
        <v>0</v>
      </c>
    </row>
    <row r="36" spans="1:12" x14ac:dyDescent="0.25">
      <c r="A36" s="46" t="str">
        <f>Sheet2!A36</f>
        <v>Southeast Asia</v>
      </c>
      <c r="B36" s="46" t="str">
        <f>Sheet2!C36</f>
        <v>Airports of Thailand</v>
      </c>
      <c r="C36" s="46" t="str">
        <f>Sheet2!D36</f>
        <v>Year ending Dec 2018</v>
      </c>
      <c r="D36" s="46" t="str">
        <f>Sheet2!E36</f>
        <v>THB</v>
      </c>
      <c r="E36" s="46">
        <f>Sheet2!F36</f>
        <v>3.0006501099999999E-2</v>
      </c>
      <c r="F36" s="35">
        <f>Sheet2!G36</f>
        <v>139518488</v>
      </c>
      <c r="G36" s="12">
        <f>Sheet2!J36</f>
        <v>60537410000</v>
      </c>
      <c r="H36" s="21">
        <f>Sheet2!R36</f>
        <v>24075750000</v>
      </c>
      <c r="I36" s="21">
        <f>Sheet2!AH36</f>
        <v>31008560000</v>
      </c>
      <c r="J36" s="12">
        <f>Sheet2!AQ36</f>
        <v>36352220000</v>
      </c>
      <c r="K36" s="12">
        <f>Sheet2!AT36</f>
        <v>31127370000</v>
      </c>
      <c r="L36" s="21">
        <f>Sheet2!AV36</f>
        <v>25224660000</v>
      </c>
    </row>
    <row r="37" spans="1:12" x14ac:dyDescent="0.25">
      <c r="A37" s="46" t="e">
        <f>Sheet2!#REF!</f>
        <v>#REF!</v>
      </c>
      <c r="B37" s="46" t="e">
        <f>Sheet2!#REF!</f>
        <v>#REF!</v>
      </c>
      <c r="C37" s="46" t="e">
        <f>Sheet2!#REF!</f>
        <v>#REF!</v>
      </c>
      <c r="D37" s="46" t="e">
        <f>Sheet2!#REF!</f>
        <v>#REF!</v>
      </c>
      <c r="E37" s="46" t="e">
        <f>Sheet2!#REF!</f>
        <v>#REF!</v>
      </c>
      <c r="F37" s="35" t="e">
        <f>Sheet2!#REF!</f>
        <v>#REF!</v>
      </c>
      <c r="G37" s="12" t="e">
        <f>Sheet2!#REF!</f>
        <v>#REF!</v>
      </c>
      <c r="H37" s="21" t="e">
        <f>Sheet2!#REF!</f>
        <v>#REF!</v>
      </c>
      <c r="I37" s="21" t="e">
        <f>Sheet2!#REF!</f>
        <v>#REF!</v>
      </c>
      <c r="J37" s="12" t="e">
        <f>Sheet2!#REF!</f>
        <v>#REF!</v>
      </c>
      <c r="K37" s="12" t="e">
        <f>Sheet2!#REF!</f>
        <v>#REF!</v>
      </c>
      <c r="L37" s="21" t="e">
        <f>Sheet2!#REF!</f>
        <v>#REF!</v>
      </c>
    </row>
    <row r="38" spans="1:12" x14ac:dyDescent="0.25">
      <c r="A38" s="46" t="str">
        <f>Sheet2!A37</f>
        <v>Southeast Asia</v>
      </c>
      <c r="B38" s="46" t="str">
        <f>Sheet2!C37</f>
        <v>Bangkok Airways (Samui, Sukothai and Trat Airports)</v>
      </c>
      <c r="C38" s="46" t="str">
        <f>Sheet2!D37</f>
        <v>Year Ending Dec 2018</v>
      </c>
      <c r="D38" s="46" t="str">
        <f>Sheet2!E37</f>
        <v>THB</v>
      </c>
      <c r="E38" s="46">
        <f>Sheet2!F37</f>
        <v>3.0619738099999998E-2</v>
      </c>
      <c r="F38" s="35">
        <f>Sheet2!G37</f>
        <v>2780000</v>
      </c>
      <c r="G38" s="12">
        <f>Sheet2!J37</f>
        <v>4680400000</v>
      </c>
      <c r="H38" s="21">
        <f>Sheet2!R37</f>
        <v>0</v>
      </c>
      <c r="I38" s="21">
        <f>Sheet2!AH37</f>
        <v>5442282964.2200003</v>
      </c>
      <c r="J38" s="12">
        <f>Sheet2!AQ37</f>
        <v>0</v>
      </c>
      <c r="K38" s="12">
        <f>Sheet2!AT37</f>
        <v>0</v>
      </c>
      <c r="L38" s="21">
        <f>Sheet2!AV37</f>
        <v>0</v>
      </c>
    </row>
    <row r="39" spans="1:12" x14ac:dyDescent="0.25">
      <c r="A39" s="46" t="str">
        <f>Sheet2!A38</f>
        <v>Southeast Asia</v>
      </c>
      <c r="B39" s="46" t="str">
        <f>Sheet2!C38</f>
        <v>Cambodia Airports (Vinci Subsidiary)</v>
      </c>
      <c r="C39" s="46" t="str">
        <f>Sheet2!D38</f>
        <v>Year Ending Dec 2018</v>
      </c>
      <c r="D39" s="46" t="str">
        <f>Sheet2!E38</f>
        <v>EUR</v>
      </c>
      <c r="E39" s="46">
        <f>Sheet2!F38</f>
        <v>1.1998614888000001</v>
      </c>
      <c r="F39" s="35">
        <f>Sheet2!G38</f>
        <v>10554000</v>
      </c>
      <c r="G39" s="12">
        <f>Sheet2!J38</f>
        <v>224980000.00000003</v>
      </c>
      <c r="H39" s="21">
        <f>Sheet2!R38</f>
        <v>0</v>
      </c>
      <c r="I39" s="21">
        <f>Sheet2!AH38</f>
        <v>0</v>
      </c>
      <c r="J39" s="12">
        <f>Sheet2!AQ38</f>
        <v>159970000</v>
      </c>
      <c r="K39" s="12">
        <f>Sheet2!AT38</f>
        <v>0</v>
      </c>
      <c r="L39" s="21">
        <f>Sheet2!AV38</f>
        <v>0</v>
      </c>
    </row>
    <row r="40" spans="1:12" x14ac:dyDescent="0.25">
      <c r="A40" s="46" t="str">
        <f>Sheet2!A39</f>
        <v>Southeast Asia</v>
      </c>
      <c r="B40" s="46" t="str">
        <f>Sheet2!C39</f>
        <v>GMR Megawide Cebu Airport Corporation</v>
      </c>
      <c r="C40" s="46" t="str">
        <f>Sheet2!D39</f>
        <v>Year Ending Dec 2018</v>
      </c>
      <c r="D40" s="46" t="str">
        <f>Sheet2!E39</f>
        <v>PHP</v>
      </c>
      <c r="E40" s="46">
        <f>Sheet2!F39</f>
        <v>1.9982162800000002E-2</v>
      </c>
      <c r="F40" s="35">
        <f>Sheet2!G39</f>
        <v>11500000</v>
      </c>
      <c r="G40" s="12">
        <f>Sheet2!J39</f>
        <v>2996000000</v>
      </c>
      <c r="H40" s="21">
        <f>Sheet2!R39</f>
        <v>970000000</v>
      </c>
      <c r="I40" s="21">
        <f>Sheet2!AH39</f>
        <v>0</v>
      </c>
      <c r="J40" s="12">
        <f>Sheet2!AQ39</f>
        <v>2109000000</v>
      </c>
      <c r="K40" s="12">
        <f>Sheet2!AT39</f>
        <v>0</v>
      </c>
      <c r="L40" s="21">
        <f>Sheet2!AV39</f>
        <v>940000000</v>
      </c>
    </row>
    <row r="41" spans="1:12" x14ac:dyDescent="0.25">
      <c r="A41" s="46" t="str">
        <f>Sheet2!A40</f>
        <v>Southeast Asia</v>
      </c>
      <c r="B41" s="46" t="str">
        <f>Sheet2!C40</f>
        <v>Manila International Airport Authority</v>
      </c>
      <c r="C41" s="46" t="str">
        <f>Sheet2!D40</f>
        <v>Year Ending Dec 2018</v>
      </c>
      <c r="D41" s="46" t="str">
        <f>Sheet2!E40</f>
        <v>PHP</v>
      </c>
      <c r="E41" s="46">
        <f>Sheet2!F40</f>
        <v>1.9982162800000002E-2</v>
      </c>
      <c r="F41" s="35" t="str">
        <f>Sheet2!G40</f>
        <v xml:space="preserve">	45,082,544</v>
      </c>
      <c r="G41" s="12">
        <f>Sheet2!J40</f>
        <v>14191292485</v>
      </c>
      <c r="H41" s="21">
        <f>Sheet2!R40</f>
        <v>0</v>
      </c>
      <c r="I41" s="21">
        <f>Sheet2!AH40</f>
        <v>0</v>
      </c>
      <c r="J41" s="12">
        <f>Sheet2!AQ40</f>
        <v>0</v>
      </c>
      <c r="K41" s="12">
        <f>Sheet2!AT40</f>
        <v>6231514966</v>
      </c>
      <c r="L41" s="21">
        <f>Sheet2!AV40</f>
        <v>6891172000</v>
      </c>
    </row>
    <row r="42" spans="1:12" x14ac:dyDescent="0.25">
      <c r="A42" s="46" t="str">
        <f>Sheet2!A41</f>
        <v>Southeast Asia</v>
      </c>
      <c r="B42" s="46" t="str">
        <f>Sheet2!C41</f>
        <v>Clark International Airport Corporation</v>
      </c>
      <c r="C42" s="46" t="str">
        <f>Sheet2!D41</f>
        <v>Year Ending Dec 2017</v>
      </c>
      <c r="D42" s="46" t="str">
        <f>Sheet2!E41</f>
        <v>PHP</v>
      </c>
      <c r="E42" s="46">
        <f>Sheet2!F41</f>
        <v>1.9982162800000002E-2</v>
      </c>
      <c r="F42" s="35">
        <f>Sheet2!G41</f>
        <v>1514531</v>
      </c>
      <c r="G42" s="12">
        <f>Sheet2!J41</f>
        <v>774722692</v>
      </c>
      <c r="H42" s="21">
        <f>Sheet2!R41</f>
        <v>446905000</v>
      </c>
      <c r="I42" s="21">
        <f>Sheet2!AH41</f>
        <v>604709223</v>
      </c>
      <c r="J42" s="12">
        <f>Sheet2!AQ41</f>
        <v>341044915</v>
      </c>
      <c r="K42" s="12">
        <f>Sheet2!AT41</f>
        <v>170013469</v>
      </c>
      <c r="L42" s="21">
        <f>Sheet2!AV41</f>
        <v>177180000</v>
      </c>
    </row>
    <row r="43" spans="1:12" x14ac:dyDescent="0.25">
      <c r="A43" s="46" t="str">
        <f>Sheet2!A42</f>
        <v>Southeast Asia</v>
      </c>
      <c r="B43" s="46" t="str">
        <f>Sheet2!C42</f>
        <v>Malaysia Airport Holdings Bhd (Malaysia Airport Operations)</v>
      </c>
      <c r="C43" s="46" t="str">
        <f>Sheet2!D42</f>
        <v>Year Ending Dec 2018</v>
      </c>
      <c r="D43" s="46" t="str">
        <f>Sheet2!E42</f>
        <v>MYR</v>
      </c>
      <c r="E43" s="46">
        <f>Sheet2!F42</f>
        <v>0.24712689509999999</v>
      </c>
      <c r="F43" s="35">
        <f>Sheet2!G42</f>
        <v>96600000</v>
      </c>
      <c r="G43" s="12">
        <f>Sheet2!J42</f>
        <v>3415000000</v>
      </c>
      <c r="H43" s="21">
        <f>Sheet2!R42</f>
        <v>1618000000</v>
      </c>
      <c r="I43" s="21">
        <f>Sheet2!AH42</f>
        <v>1951000000</v>
      </c>
      <c r="J43" s="12">
        <f>Sheet2!AQ42</f>
        <v>1510300000</v>
      </c>
      <c r="K43" s="12">
        <f>Sheet2!AT42</f>
        <v>989500000</v>
      </c>
      <c r="L43" s="21">
        <f>Sheet2!AV42</f>
        <v>0</v>
      </c>
    </row>
    <row r="44" spans="1:12" x14ac:dyDescent="0.25">
      <c r="A44" s="46" t="str">
        <f>Sheet2!A43</f>
        <v>Southeast Asia</v>
      </c>
      <c r="B44" s="46" t="str">
        <f>Sheet2!C43</f>
        <v>Malaysia Airport Holdings Bhd (KLIA &amp; KLIA2)</v>
      </c>
      <c r="C44" s="46" t="str">
        <f>Sheet2!D43</f>
        <v>Year Ending Dec 2017</v>
      </c>
      <c r="D44" s="46" t="str">
        <f>Sheet2!E43</f>
        <v>MYR</v>
      </c>
      <c r="E44" s="46">
        <f>Sheet2!F43</f>
        <v>0.24712689509999999</v>
      </c>
      <c r="F44" s="35">
        <f>Sheet2!G43</f>
        <v>58500000</v>
      </c>
      <c r="G44" s="12">
        <f>Sheet2!J43</f>
        <v>0</v>
      </c>
      <c r="H44" s="21">
        <f>Sheet2!R43</f>
        <v>0</v>
      </c>
      <c r="I44" s="21">
        <f>Sheet2!AH43</f>
        <v>0</v>
      </c>
      <c r="J44" s="12">
        <f>Sheet2!AQ43</f>
        <v>0</v>
      </c>
      <c r="K44" s="12">
        <f>Sheet2!AT43</f>
        <v>0</v>
      </c>
      <c r="L44" s="21">
        <f>Sheet2!AV43</f>
        <v>0</v>
      </c>
    </row>
    <row r="45" spans="1:12" x14ac:dyDescent="0.25">
      <c r="A45" s="46" t="str">
        <f>Sheet2!A44</f>
        <v>Southeast Asia</v>
      </c>
      <c r="B45" s="46" t="str">
        <f>Sheet2!C44</f>
        <v>Senai Airport Terminal Services Sdn Bhd</v>
      </c>
      <c r="C45" s="46" t="str">
        <f>Sheet2!D44</f>
        <v>Year Ending Dec 2018</v>
      </c>
      <c r="D45" s="46" t="str">
        <f>Sheet2!E44</f>
        <v>MYR</v>
      </c>
      <c r="E45" s="46">
        <f>Sheet2!F44</f>
        <v>0.24712689509999999</v>
      </c>
      <c r="F45" s="35">
        <f>Sheet2!G44</f>
        <v>3500000</v>
      </c>
      <c r="G45" s="12">
        <f>Sheet2!J44</f>
        <v>70000000</v>
      </c>
      <c r="H45" s="21">
        <f>Sheet2!R44</f>
        <v>22000000</v>
      </c>
      <c r="I45" s="21">
        <f>Sheet2!AH44</f>
        <v>0</v>
      </c>
      <c r="J45" s="12">
        <f>Sheet2!AQ44</f>
        <v>41000000</v>
      </c>
      <c r="K45" s="12">
        <f>Sheet2!AT44</f>
        <v>0</v>
      </c>
      <c r="L45" s="21">
        <f>Sheet2!AV44</f>
        <v>0</v>
      </c>
    </row>
    <row r="46" spans="1:12" x14ac:dyDescent="0.25">
      <c r="A46" s="46" t="str">
        <f>Sheet2!A45</f>
        <v>Southeast Asia</v>
      </c>
      <c r="B46" s="46" t="str">
        <f>Sheet2!C45</f>
        <v>Airports Corporation of Vietnam</v>
      </c>
      <c r="C46" s="46" t="str">
        <f>Sheet2!D45</f>
        <v>Year Ending Dec 2018</v>
      </c>
      <c r="D46" s="46" t="str">
        <f>Sheet2!E45</f>
        <v>VND</v>
      </c>
      <c r="E46" s="46">
        <f>Sheet2!F45</f>
        <v>4.4032300000000002E-5</v>
      </c>
      <c r="F46" s="35">
        <f>Sheet2!G45</f>
        <v>94100000</v>
      </c>
      <c r="G46" s="12">
        <f>Sheet2!J45</f>
        <v>16142028856535</v>
      </c>
      <c r="H46" s="21">
        <f>Sheet2!R45</f>
        <v>1890297168438</v>
      </c>
      <c r="I46" s="21">
        <f>Sheet2!AH45</f>
        <v>8752421668757</v>
      </c>
      <c r="J46" s="12">
        <f>Sheet2!AQ45</f>
        <v>0</v>
      </c>
      <c r="K46" s="12">
        <f>Sheet2!AT45</f>
        <v>7447536474048</v>
      </c>
      <c r="L46" s="21">
        <f>Sheet2!AV45</f>
        <v>6028301019385</v>
      </c>
    </row>
    <row r="47" spans="1:12" x14ac:dyDescent="0.25">
      <c r="A47" s="46" t="str">
        <f>Sheet2!A46</f>
        <v>Southeast Asia</v>
      </c>
      <c r="B47" s="46" t="str">
        <f>Sheet2!C46</f>
        <v>Singapore Changi Airport</v>
      </c>
      <c r="C47" s="46" t="str">
        <f>Sheet2!D46</f>
        <v>Year Ending March 2018</v>
      </c>
      <c r="D47" s="46" t="str">
        <f>Sheet2!E46</f>
        <v>SGD</v>
      </c>
      <c r="E47" s="46">
        <f>Sheet2!F46</f>
        <v>0.7627306479</v>
      </c>
      <c r="F47" s="35">
        <f>Sheet2!G46</f>
        <v>0</v>
      </c>
      <c r="G47" s="12">
        <f>Sheet2!J46</f>
        <v>2601829000</v>
      </c>
      <c r="H47" s="21">
        <f>Sheet2!R46</f>
        <v>1579258000</v>
      </c>
      <c r="I47" s="21">
        <f>Sheet2!AH46</f>
        <v>1648958000</v>
      </c>
      <c r="J47" s="12">
        <f>Sheet2!AQ46</f>
        <v>1310089000</v>
      </c>
      <c r="K47" s="12">
        <f>Sheet2!AT46</f>
        <v>952871000</v>
      </c>
      <c r="L47" s="21">
        <f>Sheet2!AV46</f>
        <v>834901000</v>
      </c>
    </row>
    <row r="48" spans="1:12" x14ac:dyDescent="0.25">
      <c r="A48" s="46" t="str">
        <f>Sheet2!A47</f>
        <v>Northeast Asia</v>
      </c>
      <c r="B48" s="46" t="str">
        <f>Sheet2!C47</f>
        <v>Yunnan Airport Group Co. Ltd</v>
      </c>
      <c r="C48" s="46" t="str">
        <f>Sheet2!D47</f>
        <v>Year Ending Dec 2018</v>
      </c>
      <c r="D48" s="46" t="str">
        <f>Sheet2!E47</f>
        <v>CNY</v>
      </c>
      <c r="E48" s="46">
        <f>Sheet2!F47</f>
        <v>0.143994701</v>
      </c>
      <c r="F48" s="35">
        <f>Sheet2!G47</f>
        <v>0</v>
      </c>
      <c r="G48" s="12">
        <f>Sheet2!J47</f>
        <v>4700151173.6099997</v>
      </c>
      <c r="H48" s="21">
        <f>Sheet2!R47</f>
        <v>0</v>
      </c>
      <c r="I48" s="21">
        <f>Sheet2!AH47</f>
        <v>4332285815.5699997</v>
      </c>
      <c r="J48" s="12">
        <f>Sheet2!AQ47</f>
        <v>0</v>
      </c>
      <c r="K48" s="12">
        <f>Sheet2!AT47</f>
        <v>95967935</v>
      </c>
      <c r="L48" s="21">
        <f>Sheet2!AV47</f>
        <v>105045592</v>
      </c>
    </row>
    <row r="49" spans="1:12" x14ac:dyDescent="0.25">
      <c r="A49" s="46" t="str">
        <f>Sheet2!A48</f>
        <v>Northeast Asia</v>
      </c>
      <c r="B49" s="46" t="str">
        <f>Sheet2!C48</f>
        <v>Xiamen International Airport Co. Ltd</v>
      </c>
      <c r="C49" s="46" t="str">
        <f>Sheet2!D48</f>
        <v>Year Ending Dec 2018</v>
      </c>
      <c r="D49" s="46" t="str">
        <f>Sheet2!E48</f>
        <v>CNY</v>
      </c>
      <c r="E49" s="46">
        <f>Sheet2!F48</f>
        <v>0.1537053666</v>
      </c>
      <c r="F49" s="35">
        <f>Sheet2!G48</f>
        <v>26553400</v>
      </c>
      <c r="G49" s="12">
        <f>Sheet2!J48</f>
        <v>1777155707.8399999</v>
      </c>
      <c r="H49" s="21">
        <f>Sheet2!R48</f>
        <v>622009027.31999993</v>
      </c>
      <c r="I49" s="21">
        <f>Sheet2!AH48</f>
        <v>1016911453.83</v>
      </c>
      <c r="J49" s="12">
        <f>Sheet2!AQ48</f>
        <v>0</v>
      </c>
      <c r="K49" s="12">
        <f>Sheet2!AT48</f>
        <v>704774603.92999995</v>
      </c>
      <c r="L49" s="21">
        <f>Sheet2!AV48</f>
        <v>526793448.81</v>
      </c>
    </row>
    <row r="50" spans="1:12" x14ac:dyDescent="0.25">
      <c r="A50" s="46" t="str">
        <f>Sheet2!A49</f>
        <v>Northeast Asia</v>
      </c>
      <c r="B50" s="46" t="str">
        <f>Sheet2!C49</f>
        <v>Shenzhen Airport Co.  Ltd</v>
      </c>
      <c r="C50" s="46" t="str">
        <f>Sheet2!D49</f>
        <v>Year Ending Dec 2018</v>
      </c>
      <c r="D50" s="46" t="str">
        <f>Sheet2!E49</f>
        <v>CNY</v>
      </c>
      <c r="E50" s="46">
        <f>Sheet2!F49</f>
        <v>0.143994701</v>
      </c>
      <c r="F50" s="35">
        <f>Sheet2!G49</f>
        <v>49349000</v>
      </c>
      <c r="G50" s="12">
        <f>Sheet2!J49</f>
        <v>3599235357.6599998</v>
      </c>
      <c r="H50" s="21">
        <f>Sheet2!R49</f>
        <v>719847071.53200006</v>
      </c>
      <c r="I50" s="21">
        <f>Sheet2!AH49</f>
        <v>0</v>
      </c>
      <c r="J50" s="12">
        <f>Sheet2!AQ49</f>
        <v>0</v>
      </c>
      <c r="K50" s="12">
        <f>Sheet2!AT49</f>
        <v>0</v>
      </c>
      <c r="L50" s="21">
        <f>Sheet2!AV49</f>
        <v>668007718.90999997</v>
      </c>
    </row>
    <row r="51" spans="1:12" x14ac:dyDescent="0.25">
      <c r="A51" s="46" t="e">
        <f>Sheet2!#REF!</f>
        <v>#REF!</v>
      </c>
      <c r="B51" s="46" t="e">
        <f>Sheet2!#REF!</f>
        <v>#REF!</v>
      </c>
      <c r="C51" s="46" t="e">
        <f>Sheet2!#REF!</f>
        <v>#REF!</v>
      </c>
      <c r="D51" s="46" t="e">
        <f>Sheet2!#REF!</f>
        <v>#REF!</v>
      </c>
      <c r="E51" s="46" t="e">
        <f>Sheet2!#REF!</f>
        <v>#REF!</v>
      </c>
      <c r="F51" s="35" t="e">
        <f>Sheet2!#REF!</f>
        <v>#REF!</v>
      </c>
      <c r="G51" s="12" t="e">
        <f>Sheet2!#REF!</f>
        <v>#REF!</v>
      </c>
      <c r="H51" s="21" t="e">
        <f>Sheet2!#REF!</f>
        <v>#REF!</v>
      </c>
      <c r="I51" s="21" t="e">
        <f>Sheet2!#REF!</f>
        <v>#REF!</v>
      </c>
      <c r="J51" s="12" t="e">
        <f>Sheet2!#REF!</f>
        <v>#REF!</v>
      </c>
      <c r="K51" s="12" t="e">
        <f>Sheet2!#REF!</f>
        <v>#REF!</v>
      </c>
      <c r="L51" s="21" t="e">
        <f>Sheet2!#REF!</f>
        <v>#REF!</v>
      </c>
    </row>
    <row r="52" spans="1:12" x14ac:dyDescent="0.25">
      <c r="A52" s="46" t="str">
        <f>Sheet2!A50</f>
        <v>Northeast Asia</v>
      </c>
      <c r="B52" s="46" t="str">
        <f>Sheet2!C50</f>
        <v>Shanghai International Airport Co., Ltd.</v>
      </c>
      <c r="C52" s="46" t="str">
        <f>Sheet2!D50</f>
        <v>Year Ending Dec 2018</v>
      </c>
      <c r="D52" s="46" t="str">
        <f>Sheet2!E50</f>
        <v>CNY</v>
      </c>
      <c r="E52" s="46">
        <f>Sheet2!F50</f>
        <v>0.1537053666</v>
      </c>
      <c r="F52" s="35">
        <f>Sheet2!G50</f>
        <v>0</v>
      </c>
      <c r="G52" s="12">
        <f>Sheet2!J50</f>
        <v>9313114686.7399998</v>
      </c>
      <c r="H52" s="21">
        <f>Sheet2!R50</f>
        <v>0</v>
      </c>
      <c r="I52" s="21">
        <f>Sheet2!AH50</f>
        <v>4499345858.5900002</v>
      </c>
      <c r="J52" s="12">
        <f>Sheet2!AQ50</f>
        <v>0</v>
      </c>
      <c r="K52" s="12">
        <f>Sheet2!AT50</f>
        <v>0</v>
      </c>
      <c r="L52" s="21">
        <f>Sheet2!AV50</f>
        <v>4231432034.8899999</v>
      </c>
    </row>
    <row r="53" spans="1:12" x14ac:dyDescent="0.25">
      <c r="A53" s="46" t="str">
        <f>Sheet2!A51</f>
        <v>Northeast Asia</v>
      </c>
      <c r="B53" s="46" t="str">
        <f>Sheet2!C51</f>
        <v>Nanjing Lukou International Airport Co. Ltd</v>
      </c>
      <c r="C53" s="46" t="str">
        <f>Sheet2!D51</f>
        <v>Year Ending Dec 2017</v>
      </c>
      <c r="D53" s="46" t="str">
        <f>Sheet2!E51</f>
        <v>CNY</v>
      </c>
      <c r="E53" s="46">
        <f>Sheet2!F51</f>
        <v>0.1537053666</v>
      </c>
      <c r="F53" s="35">
        <f>Sheet2!G51</f>
        <v>25822936</v>
      </c>
      <c r="G53" s="12">
        <f>Sheet2!J51</f>
        <v>2216094175.6300001</v>
      </c>
      <c r="H53" s="21">
        <f>Sheet2!R51</f>
        <v>1159426756.6300001</v>
      </c>
      <c r="I53" s="21">
        <f>Sheet2!AH51</f>
        <v>2068030170.0999999</v>
      </c>
      <c r="J53" s="12">
        <f>Sheet2!AQ51</f>
        <v>0</v>
      </c>
      <c r="K53" s="12">
        <f>Sheet2!AT51</f>
        <v>246935327</v>
      </c>
      <c r="L53" s="21">
        <f>Sheet2!AV51</f>
        <v>167227575</v>
      </c>
    </row>
    <row r="54" spans="1:12" x14ac:dyDescent="0.25">
      <c r="A54" s="46" t="str">
        <f>Sheet2!A52</f>
        <v>Northeast Asia</v>
      </c>
      <c r="B54" s="46" t="str">
        <f>Sheet2!C52</f>
        <v>Zhejiang Airports Group Company (Hangzhou Airport)</v>
      </c>
      <c r="C54" s="46" t="str">
        <f>Sheet2!D52</f>
        <v>Year Ending Dec 2017</v>
      </c>
      <c r="D54" s="46" t="str">
        <f>Sheet2!E52</f>
        <v>CNY</v>
      </c>
      <c r="E54" s="46">
        <f>Sheet2!F52</f>
        <v>0.143994701</v>
      </c>
      <c r="F54" s="35">
        <f>Sheet2!G52</f>
        <v>0</v>
      </c>
      <c r="G54" s="12">
        <f>Sheet2!J52</f>
        <v>4614012600</v>
      </c>
      <c r="H54" s="21">
        <f>Sheet2!R52</f>
        <v>0</v>
      </c>
      <c r="I54" s="21">
        <f>Sheet2!AH52</f>
        <v>3558433900</v>
      </c>
      <c r="J54" s="12">
        <f>Sheet2!AQ52</f>
        <v>0</v>
      </c>
      <c r="K54" s="12">
        <f>Sheet2!AT52</f>
        <v>433837400</v>
      </c>
      <c r="L54" s="21">
        <f>Sheet2!AV52</f>
        <v>523332000</v>
      </c>
    </row>
    <row r="55" spans="1:12" x14ac:dyDescent="0.25">
      <c r="A55" s="46" t="str">
        <f>Sheet2!A53</f>
        <v>Northeast Asia</v>
      </c>
      <c r="B55" s="46" t="str">
        <f>Sheet2!C53</f>
        <v>Guangzhou Baiyun International Airport Company Limited</v>
      </c>
      <c r="C55" s="46" t="str">
        <f>Sheet2!D53</f>
        <v>Year Ending Dec 2018</v>
      </c>
      <c r="D55" s="46" t="str">
        <f>Sheet2!E53</f>
        <v>CNY</v>
      </c>
      <c r="E55" s="46">
        <f>Sheet2!F53</f>
        <v>0.1537053666</v>
      </c>
      <c r="F55" s="35">
        <f>Sheet2!G53</f>
        <v>0</v>
      </c>
      <c r="G55" s="12">
        <f>Sheet2!J53</f>
        <v>7746817875.6800003</v>
      </c>
      <c r="H55" s="21">
        <f>Sheet2!R53</f>
        <v>0</v>
      </c>
      <c r="I55" s="21">
        <f>Sheet2!AH53</f>
        <v>5442282964.2200003</v>
      </c>
      <c r="J55" s="12">
        <f>Sheet2!AQ53</f>
        <v>0</v>
      </c>
      <c r="K55" s="12">
        <f>Sheet2!AT53</f>
        <v>1528127620.5</v>
      </c>
      <c r="L55" s="21">
        <f>Sheet2!AV53</f>
        <v>1161928946.1600001</v>
      </c>
    </row>
    <row r="56" spans="1:12" x14ac:dyDescent="0.25">
      <c r="A56" s="46" t="str">
        <f>Sheet2!A54</f>
        <v>Northeast Asia</v>
      </c>
      <c r="B56" s="46" t="str">
        <f>Sheet2!C54</f>
        <v>Guangxi Airports Company</v>
      </c>
      <c r="C56" s="46" t="str">
        <f>Sheet2!D54</f>
        <v>Year Ending Dec 2017</v>
      </c>
      <c r="D56" s="46" t="str">
        <f>Sheet2!E54</f>
        <v>CNY</v>
      </c>
      <c r="E56" s="46">
        <f>Sheet2!F54</f>
        <v>0.1537053666</v>
      </c>
      <c r="F56" s="35">
        <f>Sheet2!G54</f>
        <v>24770000</v>
      </c>
      <c r="G56" s="12">
        <f>Sheet2!J54</f>
        <v>1693761519.9100001</v>
      </c>
      <c r="H56" s="21">
        <f>Sheet2!R54</f>
        <v>0</v>
      </c>
      <c r="I56" s="21">
        <f>Sheet2!AH54</f>
        <v>1685615756.6900001</v>
      </c>
      <c r="J56" s="12">
        <f>Sheet2!AQ54</f>
        <v>0</v>
      </c>
      <c r="K56" s="12">
        <f>Sheet2!AT54</f>
        <v>68567977.159999996</v>
      </c>
      <c r="L56" s="21">
        <f>Sheet2!AV54</f>
        <v>19340443</v>
      </c>
    </row>
    <row r="57" spans="1:12" x14ac:dyDescent="0.25">
      <c r="A57" s="46" t="str">
        <f>Sheet2!A55</f>
        <v>Northeast Asia</v>
      </c>
      <c r="B57" s="46" t="str">
        <f>Sheet2!C55</f>
        <v>Regal Group Company (Haikou Meilan International Airport)</v>
      </c>
      <c r="C57" s="46" t="str">
        <f>Sheet2!D55</f>
        <v>Year Ending Dec 2018</v>
      </c>
      <c r="D57" s="46" t="str">
        <f>Sheet2!E55</f>
        <v>CNY</v>
      </c>
      <c r="E57" s="46">
        <f>Sheet2!F55</f>
        <v>0.1537053666</v>
      </c>
      <c r="F57" s="35">
        <f>Sheet2!G55</f>
        <v>24123600</v>
      </c>
      <c r="G57" s="12">
        <f>Sheet2!J55</f>
        <v>1703824000</v>
      </c>
      <c r="H57" s="21">
        <f>Sheet2!R55</f>
        <v>788768611</v>
      </c>
      <c r="I57" s="21">
        <f>Sheet2!AH55</f>
        <v>880907584</v>
      </c>
      <c r="J57" s="12">
        <f>Sheet2!AQ55</f>
        <v>1143377000</v>
      </c>
      <c r="K57" s="12">
        <f>Sheet2!AT55</f>
        <v>822916416</v>
      </c>
      <c r="L57" s="21">
        <f>Sheet2!AV55</f>
        <v>622041000</v>
      </c>
    </row>
    <row r="58" spans="1:12" x14ac:dyDescent="0.25">
      <c r="A58" s="46" t="str">
        <f>Sheet2!A56</f>
        <v>Northeast Asia</v>
      </c>
      <c r="B58" s="46" t="str">
        <f>Sheet2!C56</f>
        <v>Chengdu Shuangliu International Airport Co. Ltd</v>
      </c>
      <c r="C58" s="46" t="str">
        <f>Sheet2!D56</f>
        <v>Year Ending Dec 2018</v>
      </c>
      <c r="D58" s="46" t="str">
        <f>Sheet2!E56</f>
        <v>CNY</v>
      </c>
      <c r="E58" s="46">
        <f>Sheet2!F56</f>
        <v>0.1537053666</v>
      </c>
      <c r="F58" s="35">
        <f>Sheet2!G56</f>
        <v>0</v>
      </c>
      <c r="G58" s="12">
        <f>Sheet2!J56</f>
        <v>2159390041</v>
      </c>
      <c r="H58" s="21">
        <f>Sheet2!R56</f>
        <v>0</v>
      </c>
      <c r="I58" s="21">
        <f>Sheet2!AH56</f>
        <v>1970709294</v>
      </c>
      <c r="J58" s="12">
        <f>Sheet2!AQ56</f>
        <v>0</v>
      </c>
      <c r="K58" s="12">
        <f>Sheet2!AT56</f>
        <v>206209446.16</v>
      </c>
      <c r="L58" s="21">
        <f>Sheet2!AV56</f>
        <v>176119844.25</v>
      </c>
    </row>
    <row r="59" spans="1:12" x14ac:dyDescent="0.25">
      <c r="A59" s="46" t="str">
        <f>Sheet2!A57</f>
        <v>Northeast Asia</v>
      </c>
      <c r="B59" s="46" t="str">
        <f>Sheet2!C57</f>
        <v>Beijing Capital International Airport Co. Ltd</v>
      </c>
      <c r="C59" s="46" t="str">
        <f>Sheet2!D57</f>
        <v>Year Ending Dec 2018</v>
      </c>
      <c r="D59" s="46" t="str">
        <f>Sheet2!E57</f>
        <v>CNY</v>
      </c>
      <c r="E59" s="46">
        <f>Sheet2!F57</f>
        <v>0.1537053666</v>
      </c>
      <c r="F59" s="35">
        <f>Sheet2!G57</f>
        <v>100983290</v>
      </c>
      <c r="G59" s="12">
        <f>Sheet2!J57</f>
        <v>11262512000</v>
      </c>
      <c r="H59" s="21">
        <f>Sheet2!R57</f>
        <v>5953104000</v>
      </c>
      <c r="I59" s="21">
        <f>Sheet2!AH57</f>
        <v>7223392000</v>
      </c>
      <c r="J59" s="12">
        <f>Sheet2!AQ57</f>
        <v>5375970000</v>
      </c>
      <c r="K59" s="12">
        <f>Sheet2!AT57</f>
        <v>0</v>
      </c>
      <c r="L59" s="21">
        <f>Sheet2!AV57</f>
        <v>2872055000</v>
      </c>
    </row>
    <row r="60" spans="1:12" x14ac:dyDescent="0.25">
      <c r="A60" s="46" t="str">
        <f>Sheet2!A58</f>
        <v>Northeast Asia</v>
      </c>
      <c r="B60" s="46" t="str">
        <f>Sheet2!C58</f>
        <v>Xinjiang Airport Group Co, Ltd</v>
      </c>
      <c r="C60" s="46" t="str">
        <f>Sheet2!D58</f>
        <v>Year Ending Dec 2018</v>
      </c>
      <c r="D60" s="46" t="str">
        <f>Sheet2!E58</f>
        <v>CNY</v>
      </c>
      <c r="E60" s="46">
        <f>Sheet2!F58</f>
        <v>0.1537053666</v>
      </c>
      <c r="F60" s="35">
        <f>Sheet2!G58</f>
        <v>0</v>
      </c>
      <c r="G60" s="12">
        <f>Sheet2!J58</f>
        <v>2430164305</v>
      </c>
      <c r="H60" s="21">
        <f>Sheet2!R58</f>
        <v>0</v>
      </c>
      <c r="I60" s="21">
        <f>Sheet2!AH58</f>
        <v>2694252995.8200002</v>
      </c>
      <c r="J60" s="12">
        <f>Sheet2!AQ58</f>
        <v>0</v>
      </c>
      <c r="K60" s="12">
        <f>Sheet2!AT58</f>
        <v>11657559.84</v>
      </c>
      <c r="L60" s="21">
        <f>Sheet2!AV58</f>
        <v>-35023672.549999997</v>
      </c>
    </row>
    <row r="61" spans="1:12" x14ac:dyDescent="0.25">
      <c r="A61" s="46" t="str">
        <f>Sheet2!A59</f>
        <v>Northeast Asia</v>
      </c>
      <c r="B61" s="46" t="str">
        <f>Sheet2!C59</f>
        <v>Fraport (Xi'an Xianyang Airport)</v>
      </c>
      <c r="C61" s="46" t="str">
        <f>Sheet2!D59</f>
        <v>Year Ending Dec 2018</v>
      </c>
      <c r="D61" s="46" t="str">
        <f>Sheet2!E59</f>
        <v>EUR</v>
      </c>
      <c r="E61" s="46">
        <f>Sheet2!F59</f>
        <v>1.1998614888000001</v>
      </c>
      <c r="F61" s="35">
        <f>Sheet2!G59</f>
        <v>44653433</v>
      </c>
      <c r="G61" s="12">
        <f>Sheet2!J59</f>
        <v>255900000</v>
      </c>
      <c r="H61" s="21">
        <f>Sheet2!R59</f>
        <v>0</v>
      </c>
      <c r="I61" s="21">
        <f>Sheet2!AH59</f>
        <v>0</v>
      </c>
      <c r="J61" s="12">
        <f>Sheet2!AQ59</f>
        <v>91500000</v>
      </c>
      <c r="K61" s="12">
        <f>Sheet2!AT59</f>
        <v>0</v>
      </c>
      <c r="L61" s="21">
        <f>Sheet2!AV59</f>
        <v>40600000</v>
      </c>
    </row>
    <row r="62" spans="1:12" x14ac:dyDescent="0.25">
      <c r="A62" s="46" t="str">
        <f>Sheet2!A60</f>
        <v>Northeast Asia</v>
      </c>
      <c r="B62" s="46" t="str">
        <f>Sheet2!C60</f>
        <v>Chongqing Airport Group</v>
      </c>
      <c r="C62" s="46" t="str">
        <f>Sheet2!D60</f>
        <v>Year Ending Dec 2018</v>
      </c>
      <c r="D62" s="46" t="str">
        <f>Sheet2!E60</f>
        <v>CNY</v>
      </c>
      <c r="E62" s="46">
        <f>Sheet2!F60</f>
        <v>0.1537053666</v>
      </c>
      <c r="F62" s="35">
        <f>Sheet2!G60</f>
        <v>0</v>
      </c>
      <c r="G62" s="12">
        <f>Sheet2!J60</f>
        <v>2706250646.5</v>
      </c>
      <c r="H62" s="21">
        <f>Sheet2!R60</f>
        <v>0</v>
      </c>
      <c r="I62" s="21">
        <f>Sheet2!AH60</f>
        <v>4117797576</v>
      </c>
      <c r="J62" s="12">
        <f>Sheet2!AQ60</f>
        <v>0</v>
      </c>
      <c r="K62" s="12">
        <f>Sheet2!AT60</f>
        <v>-1373837403.6900001</v>
      </c>
      <c r="L62" s="21">
        <f>Sheet2!AV60</f>
        <v>-1560573078</v>
      </c>
    </row>
    <row r="63" spans="1:12" x14ac:dyDescent="0.25">
      <c r="A63" s="46" t="str">
        <f>Sheet2!A61</f>
        <v>Northeast Asia</v>
      </c>
      <c r="B63" s="46" t="str">
        <f>Sheet2!C61</f>
        <v>Hong Kong Airport Authority</v>
      </c>
      <c r="C63" s="46" t="str">
        <f>Sheet2!D61</f>
        <v>Year Ending June 2018</v>
      </c>
      <c r="D63" s="46" t="str">
        <f>Sheet2!E61</f>
        <v>HKD</v>
      </c>
      <c r="E63" s="46">
        <f>Sheet2!F61</f>
        <v>0.12748311479999999</v>
      </c>
      <c r="F63" s="35">
        <f>Sheet2!G61</f>
        <v>73600000</v>
      </c>
      <c r="G63" s="12">
        <f>Sheet2!J61</f>
        <v>21994000000</v>
      </c>
      <c r="H63" s="21">
        <f>Sheet2!R61</f>
        <v>15349000000</v>
      </c>
      <c r="I63" s="21">
        <f>Sheet2!AH61</f>
        <v>9155000000</v>
      </c>
      <c r="J63" s="12">
        <f>Sheet2!AQ61</f>
        <v>15963000000</v>
      </c>
      <c r="K63" s="12">
        <f>Sheet2!AT61</f>
        <v>12839000000</v>
      </c>
      <c r="L63" s="21">
        <f>Sheet2!AV61</f>
        <v>11486000000</v>
      </c>
    </row>
    <row r="64" spans="1:12" x14ac:dyDescent="0.25">
      <c r="A64" s="46" t="str">
        <f>Sheet2!A62</f>
        <v>Northeast Asia</v>
      </c>
      <c r="B64" s="46" t="str">
        <f>Sheet2!C62</f>
        <v>Sociedade do Aeroporto Internacional de Macau S.A.R.L</v>
      </c>
      <c r="C64" s="46" t="str">
        <f>Sheet2!D62</f>
        <v>Year Ending Dec 2017</v>
      </c>
      <c r="D64" s="46" t="str">
        <f>Sheet2!E62</f>
        <v>MOP</v>
      </c>
      <c r="E64" s="46">
        <f>Sheet2!F62</f>
        <v>0.12428295020000001</v>
      </c>
      <c r="F64" s="35">
        <f>Sheet2!G62</f>
        <v>7380000</v>
      </c>
      <c r="G64" s="12">
        <f>Sheet2!J62</f>
        <v>1406000000</v>
      </c>
      <c r="H64" s="21">
        <f>Sheet2!R62</f>
        <v>804000000</v>
      </c>
      <c r="I64" s="21">
        <f>Sheet2!AH62</f>
        <v>0</v>
      </c>
      <c r="J64" s="12">
        <f>Sheet2!AQ62</f>
        <v>0</v>
      </c>
      <c r="K64" s="12">
        <f>Sheet2!AT62</f>
        <v>0</v>
      </c>
      <c r="L64" s="21">
        <f>Sheet2!AV62</f>
        <v>354000000</v>
      </c>
    </row>
    <row r="65" spans="1:12" x14ac:dyDescent="0.25">
      <c r="A65" s="46" t="str">
        <f>Sheet2!A63</f>
        <v>Northeast Asia</v>
      </c>
      <c r="B65" s="46" t="str">
        <f>Sheet2!C63</f>
        <v>Taoyuan International Airport Corporation</v>
      </c>
      <c r="C65" s="46" t="str">
        <f>Sheet2!D63</f>
        <v>Year Ending Dec 2018</v>
      </c>
      <c r="D65" s="46" t="str">
        <f>Sheet2!E63</f>
        <v>NTD</v>
      </c>
      <c r="E65" s="46">
        <f>Sheet2!F63</f>
        <v>3.0839925399999999E-2</v>
      </c>
      <c r="F65" s="35">
        <f>Sheet2!G63</f>
        <v>0</v>
      </c>
      <c r="G65" s="12">
        <f>Sheet2!J63</f>
        <v>21721377787</v>
      </c>
      <c r="H65" s="21">
        <f>Sheet2!R63</f>
        <v>10112488683</v>
      </c>
      <c r="I65" s="21">
        <f>Sheet2!AH63</f>
        <v>12746064287</v>
      </c>
      <c r="J65" s="12">
        <f>Sheet2!AQ63</f>
        <v>0</v>
      </c>
      <c r="K65" s="12">
        <f>Sheet2!AT63</f>
        <v>8975313500</v>
      </c>
      <c r="L65" s="21">
        <f>Sheet2!AV63</f>
        <v>7266928061</v>
      </c>
    </row>
    <row r="66" spans="1:12" x14ac:dyDescent="0.25">
      <c r="A66" s="46" t="str">
        <f>Sheet2!A64</f>
        <v>Northeast Asia</v>
      </c>
      <c r="B66" s="46" t="str">
        <f>Sheet2!C64</f>
        <v>Civil Aeronautics Association (Kaohsiung International Airport)</v>
      </c>
      <c r="C66" s="46" t="str">
        <f>Sheet2!D64</f>
        <v>Year Ending Dec 2015</v>
      </c>
      <c r="D66" s="46" t="str">
        <f>Sheet2!E64</f>
        <v>NTD</v>
      </c>
      <c r="E66" s="46">
        <f>Sheet2!F64</f>
        <v>3.0419176199999998E-2</v>
      </c>
      <c r="F66" s="35">
        <f>Sheet2!G64</f>
        <v>6001487</v>
      </c>
      <c r="G66" s="12">
        <f>Sheet2!J64</f>
        <v>2124000000</v>
      </c>
      <c r="H66" s="21">
        <f>Sheet2!R64</f>
        <v>1081500000</v>
      </c>
      <c r="I66" s="21">
        <f>Sheet2!AH64</f>
        <v>716992000</v>
      </c>
      <c r="J66" s="12">
        <f>Sheet2!AQ64</f>
        <v>0</v>
      </c>
      <c r="K66" s="12">
        <f>Sheet2!AT64</f>
        <v>1407008000</v>
      </c>
      <c r="L66" s="21">
        <f>Sheet2!AV64</f>
        <v>0</v>
      </c>
    </row>
    <row r="67" spans="1:12" x14ac:dyDescent="0.25">
      <c r="A67" s="46" t="str">
        <f>Sheet2!A65</f>
        <v>Northeast Asia</v>
      </c>
      <c r="B67" s="46" t="str">
        <f>Sheet2!C65</f>
        <v>Civil Aeronautics Association (Taipei Songshan Airport)</v>
      </c>
      <c r="C67" s="46" t="str">
        <f>Sheet2!D65</f>
        <v>Year Ending Dec 2017</v>
      </c>
      <c r="D67" s="46" t="str">
        <f>Sheet2!E65</f>
        <v>NTD</v>
      </c>
      <c r="E67" s="46">
        <f>Sheet2!F65</f>
        <v>3.3662034299999997E-2</v>
      </c>
      <c r="F67" s="35">
        <f>Sheet2!G65</f>
        <v>5943153</v>
      </c>
      <c r="G67" s="12">
        <f>Sheet2!J65</f>
        <v>2094034000</v>
      </c>
      <c r="H67" s="21">
        <f>Sheet2!R65</f>
        <v>1041205193</v>
      </c>
      <c r="I67" s="21">
        <f>Sheet2!AH65</f>
        <v>1032166000</v>
      </c>
      <c r="J67" s="12">
        <f>Sheet2!AQ65</f>
        <v>0</v>
      </c>
      <c r="K67" s="12">
        <f>Sheet2!AT65</f>
        <v>1061868000</v>
      </c>
      <c r="L67" s="21">
        <f>Sheet2!AV65</f>
        <v>0</v>
      </c>
    </row>
    <row r="68" spans="1:12" x14ac:dyDescent="0.25">
      <c r="A68" s="46" t="str">
        <f>Sheet2!A66</f>
        <v>Northeast Asia</v>
      </c>
      <c r="B68" s="46" t="str">
        <f>Sheet2!C66</f>
        <v>Central Japan International Airport Co.,Ltd.</v>
      </c>
      <c r="C68" s="46" t="str">
        <f>Sheet2!D66</f>
        <v>Year Ending March 2019</v>
      </c>
      <c r="D68" s="46" t="str">
        <f>Sheet2!E66</f>
        <v>JPY</v>
      </c>
      <c r="E68" s="46">
        <f>Sheet2!F66</f>
        <v>9.4091156999999998E-3</v>
      </c>
      <c r="F68" s="35">
        <f>Sheet2!G66</f>
        <v>12340000</v>
      </c>
      <c r="G68" s="12">
        <f>Sheet2!J66</f>
        <v>64924000000</v>
      </c>
      <c r="H68" s="21">
        <f>Sheet2!R66</f>
        <v>35924000000</v>
      </c>
      <c r="I68" s="21">
        <f>Sheet2!AH66</f>
        <v>54392000000</v>
      </c>
      <c r="J68" s="12">
        <f>Sheet2!AQ66</f>
        <v>12050000000</v>
      </c>
      <c r="K68" s="12">
        <f>Sheet2!AT66</f>
        <v>9900000000</v>
      </c>
      <c r="L68" s="21">
        <f>Sheet2!AV66</f>
        <v>6440000000.000001</v>
      </c>
    </row>
    <row r="69" spans="1:12" x14ac:dyDescent="0.25">
      <c r="A69" s="46" t="str">
        <f>Sheet2!A67</f>
        <v>Northeast Asia</v>
      </c>
      <c r="B69" s="46" t="str">
        <f>Sheet2!C67</f>
        <v>Fukuoka Airport Building Co.</v>
      </c>
      <c r="C69" s="46" t="str">
        <f>Sheet2!D67</f>
        <v>Year Ending March 2019</v>
      </c>
      <c r="D69" s="46" t="str">
        <f>Sheet2!E67</f>
        <v>JPY</v>
      </c>
      <c r="E69" s="46">
        <f>Sheet2!F67</f>
        <v>9.4091156999999998E-3</v>
      </c>
      <c r="F69" s="35">
        <f>Sheet2!G67</f>
        <v>23970000</v>
      </c>
      <c r="G69" s="12">
        <f>Sheet2!J67</f>
        <v>28240000000</v>
      </c>
      <c r="H69" s="21">
        <f>Sheet2!R67</f>
        <v>0</v>
      </c>
      <c r="I69" s="21">
        <f>Sheet2!AH67</f>
        <v>25177982000</v>
      </c>
      <c r="J69" s="12">
        <f>Sheet2!AQ67</f>
        <v>0</v>
      </c>
      <c r="K69" s="12">
        <f>Sheet2!AT67</f>
        <v>3062745000</v>
      </c>
      <c r="L69" s="21">
        <f>Sheet2!AV67</f>
        <v>2040655000</v>
      </c>
    </row>
    <row r="70" spans="1:12" x14ac:dyDescent="0.25">
      <c r="A70" s="46" t="str">
        <f>Sheet2!A68</f>
        <v>Northeast Asia</v>
      </c>
      <c r="B70" s="46" t="str">
        <f>Sheet2!C68</f>
        <v>Hiroshima Airport Building Co., Ltd</v>
      </c>
      <c r="C70" s="46" t="str">
        <f>Sheet2!D68</f>
        <v>Year Ending March 2019</v>
      </c>
      <c r="D70" s="46" t="str">
        <f>Sheet2!E68</f>
        <v>JPY</v>
      </c>
      <c r="E70" s="46">
        <f>Sheet2!F68</f>
        <v>9.4091156999999998E-3</v>
      </c>
      <c r="F70" s="35">
        <f>Sheet2!G68</f>
        <v>3389777</v>
      </c>
      <c r="G70" s="12">
        <f>Sheet2!J68</f>
        <v>3490301000</v>
      </c>
      <c r="H70" s="21">
        <f>Sheet2!R68</f>
        <v>0</v>
      </c>
      <c r="I70" s="21">
        <f>Sheet2!AH68</f>
        <v>3121708000</v>
      </c>
      <c r="J70" s="12">
        <f>Sheet2!AQ68</f>
        <v>0</v>
      </c>
      <c r="K70" s="12">
        <f>Sheet2!AT68</f>
        <v>368593000</v>
      </c>
      <c r="L70" s="21">
        <f>Sheet2!AV68</f>
        <v>210449000</v>
      </c>
    </row>
    <row r="71" spans="1:12" x14ac:dyDescent="0.25">
      <c r="A71" s="46" t="str">
        <f>Sheet2!A69</f>
        <v>Northeast Asia</v>
      </c>
      <c r="B71" s="46" t="str">
        <f>Sheet2!C69</f>
        <v>Narita Airport Authority</v>
      </c>
      <c r="C71" s="46" t="str">
        <f>Sheet2!D69</f>
        <v>Year Ending March 2019</v>
      </c>
      <c r="D71" s="46" t="str">
        <f>Sheet2!E69</f>
        <v>JPY</v>
      </c>
      <c r="E71" s="46">
        <f>Sheet2!F69</f>
        <v>9.4091156999999998E-3</v>
      </c>
      <c r="F71" s="35">
        <f>Sheet2!G69</f>
        <v>43176000</v>
      </c>
      <c r="G71" s="12">
        <f>Sheet2!J69</f>
        <v>249706000000</v>
      </c>
      <c r="H71" s="21">
        <f>Sheet2!R69</f>
        <v>45100000000</v>
      </c>
      <c r="I71" s="21">
        <f>Sheet2!AH69</f>
        <v>144766000000</v>
      </c>
      <c r="J71" s="12">
        <f>Sheet2!AQ69</f>
        <v>0</v>
      </c>
      <c r="K71" s="12">
        <f>Sheet2!AT69</f>
        <v>51970000000</v>
      </c>
      <c r="L71" s="21">
        <f>Sheet2!AV69</f>
        <v>35756000000</v>
      </c>
    </row>
    <row r="72" spans="1:12" x14ac:dyDescent="0.25">
      <c r="A72" s="46" t="str">
        <f>Sheet2!A70</f>
        <v>Northeast Asia</v>
      </c>
      <c r="B72" s="46" t="str">
        <f>Sheet2!C70</f>
        <v>Kansai Airports</v>
      </c>
      <c r="C72" s="46" t="str">
        <f>Sheet2!D70</f>
        <v>Year Ending March 2019</v>
      </c>
      <c r="D72" s="46" t="str">
        <f>Sheet2!E70</f>
        <v>JPY</v>
      </c>
      <c r="E72" s="46">
        <f>Sheet2!F70</f>
        <v>9.4091156999999998E-3</v>
      </c>
      <c r="F72" s="35">
        <f>Sheet2!G70</f>
        <v>48900000</v>
      </c>
      <c r="G72" s="12">
        <f>Sheet2!J70</f>
        <v>220400000000</v>
      </c>
      <c r="H72" s="21">
        <f>Sheet2!R70</f>
        <v>119000000000</v>
      </c>
      <c r="I72" s="21">
        <f>Sheet2!AH70</f>
        <v>153400000000</v>
      </c>
      <c r="J72" s="12">
        <f>Sheet2!AQ70</f>
        <v>97100000000</v>
      </c>
      <c r="K72" s="12">
        <f>Sheet2!AT70</f>
        <v>37800000000</v>
      </c>
      <c r="L72" s="21">
        <f>Sheet2!AV70</f>
        <v>29600000000</v>
      </c>
    </row>
    <row r="73" spans="1:12" x14ac:dyDescent="0.25">
      <c r="A73" s="46" t="str">
        <f>Sheet2!A71</f>
        <v>Northeast Asia</v>
      </c>
      <c r="B73" s="46" t="str">
        <f>Sheet2!C71</f>
        <v>Nagasaki Airport Building Co. Ltd</v>
      </c>
      <c r="C73" s="46" t="str">
        <f>Sheet2!D71</f>
        <v>Year Ending March 2018</v>
      </c>
      <c r="D73" s="46" t="str">
        <f>Sheet2!E71</f>
        <v>JPY</v>
      </c>
      <c r="E73" s="46">
        <f>Sheet2!F71</f>
        <v>9.4091156999999998E-3</v>
      </c>
      <c r="F73" s="35">
        <f>Sheet2!G71</f>
        <v>3158442</v>
      </c>
      <c r="G73" s="12">
        <f>Sheet2!J71</f>
        <v>5138114000</v>
      </c>
      <c r="H73" s="21">
        <f>Sheet2!R71</f>
        <v>12420000000</v>
      </c>
      <c r="I73" s="21">
        <f>Sheet2!AH71</f>
        <v>4715413000</v>
      </c>
      <c r="J73" s="12">
        <f>Sheet2!AQ71</f>
        <v>0</v>
      </c>
      <c r="K73" s="12">
        <f>Sheet2!AT71</f>
        <v>3612513000</v>
      </c>
      <c r="L73" s="21">
        <f>Sheet2!AV71</f>
        <v>300453000</v>
      </c>
    </row>
    <row r="74" spans="1:12" x14ac:dyDescent="0.25">
      <c r="A74" s="46" t="str">
        <f>Sheet2!A72</f>
        <v>Northeast Asia</v>
      </c>
      <c r="B74" s="46" t="str">
        <f>Sheet2!C72</f>
        <v>Matsuyama Airport</v>
      </c>
      <c r="C74" s="46" t="str">
        <f>Sheet2!D72</f>
        <v>Year Ending March 2018</v>
      </c>
      <c r="D74" s="46" t="str">
        <f>Sheet2!E72</f>
        <v>JPY</v>
      </c>
      <c r="E74" s="46">
        <f>Sheet2!F72</f>
        <v>9.4091156999999998E-3</v>
      </c>
      <c r="F74" s="35">
        <f>Sheet2!G72</f>
        <v>3011842</v>
      </c>
      <c r="G74" s="12">
        <f>Sheet2!J72</f>
        <v>1906852000</v>
      </c>
      <c r="H74" s="21">
        <f>Sheet2!R72</f>
        <v>0</v>
      </c>
      <c r="I74" s="21">
        <f>Sheet2!AH72</f>
        <v>1525601000</v>
      </c>
      <c r="J74" s="12">
        <f>Sheet2!AQ72</f>
        <v>0</v>
      </c>
      <c r="K74" s="12">
        <f>Sheet2!AT72</f>
        <v>1906852000</v>
      </c>
      <c r="L74" s="21">
        <f>Sheet2!AV72</f>
        <v>227218000</v>
      </c>
    </row>
    <row r="75" spans="1:12" x14ac:dyDescent="0.25">
      <c r="A75" s="46" t="str">
        <f>Sheet2!A73</f>
        <v>Northeast Asia</v>
      </c>
      <c r="B75" s="46" t="str">
        <f>Sheet2!C73</f>
        <v>Korean Airports Corporation</v>
      </c>
      <c r="C75" s="46" t="str">
        <f>Sheet2!D73</f>
        <v>Year Ending Dec 2017</v>
      </c>
      <c r="D75" s="46" t="str">
        <f>Sheet2!E73</f>
        <v>KRW</v>
      </c>
      <c r="E75" s="46">
        <f>Sheet2!F73</f>
        <v>9.3773200000000004E-4</v>
      </c>
      <c r="F75" s="35">
        <f>Sheet2!G73</f>
        <v>82800000</v>
      </c>
      <c r="G75" s="12">
        <f>Sheet2!J73</f>
        <v>925950000000</v>
      </c>
      <c r="H75" s="21">
        <f>Sheet2!R73</f>
        <v>0</v>
      </c>
      <c r="I75" s="21">
        <f>Sheet2!AH73</f>
        <v>0</v>
      </c>
      <c r="J75" s="12">
        <f>Sheet2!AQ73</f>
        <v>0</v>
      </c>
      <c r="K75" s="12">
        <f>Sheet2!AT73</f>
        <v>0</v>
      </c>
      <c r="L75" s="21">
        <f>Sheet2!AV73</f>
        <v>175500000000</v>
      </c>
    </row>
    <row r="76" spans="1:12" x14ac:dyDescent="0.25">
      <c r="A76" s="46" t="str">
        <f>Sheet2!A74</f>
        <v>Northeast Asia</v>
      </c>
      <c r="B76" s="46" t="str">
        <f>Sheet2!C74</f>
        <v>Incheon International Airports Corporation</v>
      </c>
      <c r="C76" s="46" t="str">
        <f>Sheet2!D74</f>
        <v>Year Ending Dec 2017</v>
      </c>
      <c r="D76" s="46" t="str">
        <f>Sheet2!E74</f>
        <v>KRW</v>
      </c>
      <c r="E76" s="46">
        <f>Sheet2!F74</f>
        <v>9.3773200000000004E-4</v>
      </c>
      <c r="F76" s="35">
        <f>Sheet2!G74</f>
        <v>62000000</v>
      </c>
      <c r="G76" s="12">
        <f>Sheet2!J74</f>
        <v>2430600000000</v>
      </c>
      <c r="H76" s="21">
        <f>Sheet2!R74</f>
        <v>1605200000000</v>
      </c>
      <c r="I76" s="21">
        <f>Sheet2!AH74</f>
        <v>0</v>
      </c>
      <c r="J76" s="12">
        <f>Sheet2!AQ74</f>
        <v>0</v>
      </c>
      <c r="K76" s="12">
        <f>Sheet2!AT74</f>
        <v>1453200000000</v>
      </c>
      <c r="L76" s="21">
        <f>Sheet2!AV74</f>
        <v>1116400000000</v>
      </c>
    </row>
    <row r="77" spans="1:12" x14ac:dyDescent="0.25">
      <c r="A77" s="46" t="str">
        <f>Sheet2!A75</f>
        <v>Russia &amp; CIS</v>
      </c>
      <c r="B77" s="46" t="str">
        <f>Sheet2!C75</f>
        <v>DME Ltd (Domodedovo Airport)</v>
      </c>
      <c r="C77" s="46" t="str">
        <f>Sheet2!D75</f>
        <v>Half Year Ending June 2018</v>
      </c>
      <c r="D77" s="46" t="str">
        <f>Sheet2!E75</f>
        <v>RUB</v>
      </c>
      <c r="E77" s="46">
        <f>Sheet2!F75</f>
        <v>1.73196332E-2</v>
      </c>
      <c r="F77" s="35" t="str">
        <f>Sheet2!G75</f>
        <v xml:space="preserve"> </v>
      </c>
      <c r="G77" s="12">
        <f>Sheet2!J75</f>
        <v>19777000000</v>
      </c>
      <c r="H77" s="21">
        <f>Sheet2!R75</f>
        <v>3683000000</v>
      </c>
      <c r="I77" s="21">
        <f>Sheet2!AH75</f>
        <v>15268000000</v>
      </c>
      <c r="J77" s="12">
        <f>Sheet2!AQ75</f>
        <v>0</v>
      </c>
      <c r="K77" s="12">
        <f>Sheet2!AT75</f>
        <v>4509000000</v>
      </c>
      <c r="L77" s="21">
        <f>Sheet2!AV75</f>
        <v>884000000</v>
      </c>
    </row>
    <row r="78" spans="1:12" x14ac:dyDescent="0.25">
      <c r="A78" s="46" t="str">
        <f>Sheet2!A76</f>
        <v>Russia &amp; CIS</v>
      </c>
      <c r="B78" s="46" t="str">
        <f>Sheet2!C76</f>
        <v>Sheremetyevo Holding</v>
      </c>
      <c r="C78" s="46" t="str">
        <f>Sheet2!D76</f>
        <v>Year Ending Dec 2018</v>
      </c>
      <c r="D78" s="46" t="str">
        <f>Sheet2!E76</f>
        <v>USD</v>
      </c>
      <c r="E78" s="46">
        <f>Sheet2!F76</f>
        <v>1</v>
      </c>
      <c r="F78" s="35">
        <f>Sheet2!G76</f>
        <v>45836000</v>
      </c>
      <c r="G78" s="12">
        <f>Sheet2!J76</f>
        <v>924606000</v>
      </c>
      <c r="H78" s="21">
        <f>Sheet2!R76</f>
        <v>613672000</v>
      </c>
      <c r="I78" s="21">
        <f>Sheet2!AH76</f>
        <v>613443000</v>
      </c>
      <c r="J78" s="12">
        <f>Sheet2!AQ76</f>
        <v>0</v>
      </c>
      <c r="K78" s="12">
        <f>Sheet2!AT76</f>
        <v>311173000</v>
      </c>
      <c r="L78" s="21">
        <f>Sheet2!AV76</f>
        <v>-100735000</v>
      </c>
    </row>
    <row r="79" spans="1:12" x14ac:dyDescent="0.25">
      <c r="A79" s="46" t="str">
        <f>Sheet2!A77</f>
        <v>Russia &amp; CIS</v>
      </c>
      <c r="B79" s="46" t="str">
        <f>Sheet2!C77</f>
        <v>Vladivostok International Airport JSC</v>
      </c>
      <c r="C79" s="46" t="str">
        <f>Sheet2!D77</f>
        <v>Year Ending Dec 2016</v>
      </c>
      <c r="D79" s="46" t="str">
        <f>Sheet2!E77</f>
        <v>RUB</v>
      </c>
      <c r="E79" s="46">
        <f>Sheet2!F77</f>
        <v>1.73196332E-2</v>
      </c>
      <c r="F79" s="35">
        <f>Sheet2!G77</f>
        <v>1850000</v>
      </c>
      <c r="G79" s="12">
        <f>Sheet2!J77</f>
        <v>1168000000</v>
      </c>
      <c r="H79" s="21">
        <f>Sheet2!R77</f>
        <v>242000000</v>
      </c>
      <c r="I79" s="21">
        <f>Sheet2!AH77</f>
        <v>1099426000</v>
      </c>
      <c r="J79" s="12">
        <f>Sheet2!AQ77</f>
        <v>-109014000</v>
      </c>
      <c r="K79" s="12">
        <f>Sheet2!AT77</f>
        <v>68980000</v>
      </c>
      <c r="L79" s="21">
        <f>Sheet2!AV77</f>
        <v>-118943000</v>
      </c>
    </row>
    <row r="80" spans="1:12" x14ac:dyDescent="0.25">
      <c r="A80" s="46" t="str">
        <f>Sheet2!A78</f>
        <v>Russia &amp; CIS</v>
      </c>
      <c r="B80" s="46" t="str">
        <f>Sheet2!C78</f>
        <v>Fraport ( Pulkovo/Thalita)</v>
      </c>
      <c r="C80" s="46" t="str">
        <f>Sheet2!D78</f>
        <v>Year Ending Dec 2018</v>
      </c>
      <c r="D80" s="46" t="str">
        <f>Sheet2!E78</f>
        <v>EUR</v>
      </c>
      <c r="E80" s="46" t="str">
        <f>Sheet2!F78</f>
        <v xml:space="preserve"> </v>
      </c>
      <c r="F80" s="35">
        <f>Sheet2!G78</f>
        <v>0</v>
      </c>
      <c r="G80" s="12">
        <f>Sheet2!J78</f>
        <v>274000000</v>
      </c>
      <c r="H80" s="21">
        <f>Sheet2!R78</f>
        <v>0</v>
      </c>
      <c r="I80" s="21">
        <f>Sheet2!AH78</f>
        <v>0</v>
      </c>
      <c r="J80" s="12">
        <f>Sheet2!AQ78</f>
        <v>171300000</v>
      </c>
      <c r="K80" s="12">
        <f>Sheet2!AT78</f>
        <v>135600000</v>
      </c>
      <c r="L80" s="21">
        <f>Sheet2!AV78</f>
        <v>-23200000</v>
      </c>
    </row>
    <row r="81" spans="1:12" x14ac:dyDescent="0.25">
      <c r="A81" s="46" t="str">
        <f>Sheet2!A79</f>
        <v>Russia &amp; CIS</v>
      </c>
      <c r="B81" s="46" t="str">
        <f>Sheet2!C79</f>
        <v>Basel Aero (Sochi International Airport)</v>
      </c>
      <c r="C81" s="46" t="str">
        <f>Sheet2!D79</f>
        <v>Year Ending Dec 2017</v>
      </c>
      <c r="D81" s="46" t="str">
        <f>Sheet2!E79</f>
        <v>RUB</v>
      </c>
      <c r="E81" s="46">
        <f>Sheet2!F79</f>
        <v>1.73196332E-2</v>
      </c>
      <c r="F81" s="35">
        <f>Sheet2!G79</f>
        <v>5600000</v>
      </c>
      <c r="G81" s="12">
        <f>Sheet2!J79</f>
        <v>4500000000</v>
      </c>
      <c r="H81" s="21">
        <f>Sheet2!R79</f>
        <v>0</v>
      </c>
      <c r="I81" s="21">
        <f>Sheet2!AH79</f>
        <v>0</v>
      </c>
      <c r="J81" s="12">
        <f>Sheet2!AQ79</f>
        <v>0</v>
      </c>
      <c r="K81" s="12">
        <f>Sheet2!AT79</f>
        <v>0</v>
      </c>
      <c r="L81" s="21">
        <f>Sheet2!AV79</f>
        <v>0</v>
      </c>
    </row>
    <row r="82" spans="1:12" x14ac:dyDescent="0.25">
      <c r="A82" s="46" t="str">
        <f>Sheet2!A80</f>
        <v>Russia &amp; CIS</v>
      </c>
      <c r="B82" s="46" t="str">
        <f>Sheet2!C80</f>
        <v>Basel Aero (Krasnodar International Airport)</v>
      </c>
      <c r="C82" s="46" t="str">
        <f>Sheet2!D80</f>
        <v>Year Ending Dec 2017</v>
      </c>
      <c r="D82" s="46" t="str">
        <f>Sheet2!E80</f>
        <v xml:space="preserve"> RUB</v>
      </c>
      <c r="E82" s="46">
        <f>Sheet2!F80</f>
        <v>1.73196332E-2</v>
      </c>
      <c r="F82" s="35">
        <f>Sheet2!G80</f>
        <v>3400000</v>
      </c>
      <c r="G82" s="12">
        <f>Sheet2!J80</f>
        <v>2800000000</v>
      </c>
      <c r="H82" s="21">
        <f>Sheet2!R80</f>
        <v>0</v>
      </c>
      <c r="I82" s="21">
        <f>Sheet2!AH80</f>
        <v>0</v>
      </c>
      <c r="J82" s="12">
        <f>Sheet2!AQ80</f>
        <v>0</v>
      </c>
      <c r="K82" s="12">
        <f>Sheet2!AT80</f>
        <v>0</v>
      </c>
      <c r="L82" s="21">
        <f>Sheet2!AV80</f>
        <v>0</v>
      </c>
    </row>
    <row r="83" spans="1:12" x14ac:dyDescent="0.25">
      <c r="A83" s="46" t="str">
        <f>Sheet2!A81</f>
        <v>Russia &amp; CIS</v>
      </c>
      <c r="B83" s="46" t="str">
        <f>Sheet2!C81</f>
        <v>Basel Aero ( Anapa International Airport)</v>
      </c>
      <c r="C83" s="46" t="str">
        <f>Sheet2!D81</f>
        <v>Year Ending Dec 2017</v>
      </c>
      <c r="D83" s="46" t="str">
        <f>Sheet2!E81</f>
        <v>RUB</v>
      </c>
      <c r="E83" s="46">
        <f>Sheet2!F81</f>
        <v>1.73196332E-2</v>
      </c>
      <c r="F83" s="35">
        <f>Sheet2!G81</f>
        <v>1300000</v>
      </c>
      <c r="G83" s="12">
        <f>Sheet2!J81</f>
        <v>814600000</v>
      </c>
      <c r="H83" s="21">
        <f>Sheet2!R81</f>
        <v>0</v>
      </c>
      <c r="I83" s="21">
        <f>Sheet2!AH81</f>
        <v>0</v>
      </c>
      <c r="J83" s="12">
        <f>Sheet2!AQ81</f>
        <v>0</v>
      </c>
      <c r="K83" s="12">
        <f>Sheet2!AT81</f>
        <v>0</v>
      </c>
      <c r="L83" s="21">
        <f>Sheet2!AV81</f>
        <v>0</v>
      </c>
    </row>
    <row r="84" spans="1:12" x14ac:dyDescent="0.25">
      <c r="A84" s="46" t="str">
        <f>Sheet2!A82</f>
        <v>Russia &amp; CIS</v>
      </c>
      <c r="B84" s="46" t="str">
        <f>Sheet2!C82</f>
        <v>Vnukovo International Airport JSC</v>
      </c>
      <c r="C84" s="46" t="str">
        <f>Sheet2!D82</f>
        <v>Year Ending Dec 2017</v>
      </c>
      <c r="D84" s="46" t="str">
        <f>Sheet2!E82</f>
        <v>RUB</v>
      </c>
      <c r="E84" s="46">
        <f>Sheet2!F82</f>
        <v>1.73196332E-2</v>
      </c>
      <c r="F84" s="35">
        <f>Sheet2!G82</f>
        <v>18139000</v>
      </c>
      <c r="G84" s="12">
        <f>Sheet2!J82</f>
        <v>10000000000</v>
      </c>
      <c r="H84" s="21">
        <f>Sheet2!R82</f>
        <v>5000000000</v>
      </c>
      <c r="I84" s="21">
        <f>Sheet2!AH82</f>
        <v>0</v>
      </c>
      <c r="J84" s="12">
        <f>Sheet2!AQ82</f>
        <v>3600000000</v>
      </c>
      <c r="K84" s="12">
        <f>Sheet2!AT82</f>
        <v>0</v>
      </c>
      <c r="L84" s="21">
        <f>Sheet2!AV82</f>
        <v>-1800000000</v>
      </c>
    </row>
    <row r="85" spans="1:12" x14ac:dyDescent="0.25">
      <c r="A85" s="46" t="e">
        <f>Sheet2!#REF!</f>
        <v>#REF!</v>
      </c>
      <c r="B85" s="46" t="e">
        <f>Sheet2!#REF!</f>
        <v>#REF!</v>
      </c>
      <c r="C85" s="46" t="e">
        <f>Sheet2!#REF!</f>
        <v>#REF!</v>
      </c>
      <c r="D85" s="46" t="e">
        <f>Sheet2!#REF!</f>
        <v>#REF!</v>
      </c>
      <c r="E85" s="46" t="e">
        <f>Sheet2!#REF!</f>
        <v>#REF!</v>
      </c>
      <c r="F85" s="35" t="e">
        <f>Sheet2!#REF!</f>
        <v>#REF!</v>
      </c>
      <c r="G85" s="12" t="e">
        <f>Sheet2!#REF!</f>
        <v>#REF!</v>
      </c>
      <c r="H85" s="21" t="e">
        <f>Sheet2!#REF!</f>
        <v>#REF!</v>
      </c>
      <c r="I85" s="21" t="e">
        <f>Sheet2!#REF!</f>
        <v>#REF!</v>
      </c>
      <c r="J85" s="12" t="e">
        <f>Sheet2!#REF!</f>
        <v>#REF!</v>
      </c>
      <c r="K85" s="12" t="e">
        <f>Sheet2!#REF!</f>
        <v>#REF!</v>
      </c>
      <c r="L85" s="21" t="e">
        <f>Sheet2!#REF!</f>
        <v>#REF!</v>
      </c>
    </row>
    <row r="86" spans="1:12" x14ac:dyDescent="0.25">
      <c r="A86" s="46" t="str">
        <f>Sheet2!A83</f>
        <v>Russia &amp; CIS</v>
      </c>
      <c r="B86" s="46" t="str">
        <f>Sheet2!C83</f>
        <v>Almaty Airport JSC</v>
      </c>
      <c r="C86" s="46" t="str">
        <f>Sheet2!D83</f>
        <v>Year Ending Dec 2017</v>
      </c>
      <c r="D86" s="46" t="str">
        <f>Sheet2!E83</f>
        <v>KZT</v>
      </c>
      <c r="E86" s="46">
        <f>Sheet2!F83</f>
        <v>3.0039132000000001E-3</v>
      </c>
      <c r="F86" s="35">
        <f>Sheet2!G83</f>
        <v>5640800</v>
      </c>
      <c r="G86" s="12">
        <f>Sheet2!J83</f>
        <v>56507000000</v>
      </c>
      <c r="H86" s="21">
        <f>Sheet2!R83</f>
        <v>2571000000</v>
      </c>
      <c r="I86" s="21">
        <f>Sheet2!AH83</f>
        <v>52430000000</v>
      </c>
      <c r="J86" s="12">
        <f>Sheet2!AQ83</f>
        <v>9245000000</v>
      </c>
      <c r="K86" s="12">
        <f>Sheet2!AT83</f>
        <v>4077000000</v>
      </c>
      <c r="L86" s="21">
        <f>Sheet2!AV83</f>
        <v>0</v>
      </c>
    </row>
    <row r="87" spans="1:12" x14ac:dyDescent="0.25">
      <c r="A87" s="46" t="str">
        <f>Sheet2!A84</f>
        <v>Russia &amp; CIS</v>
      </c>
      <c r="B87" s="46" t="str">
        <f>Sheet2!C84</f>
        <v>Manas International  Airport OJSC</v>
      </c>
      <c r="C87" s="46" t="str">
        <f>Sheet2!D84</f>
        <v>Year Ending Dec 2017</v>
      </c>
      <c r="D87" s="46" t="str">
        <f>Sheet2!E84</f>
        <v>SOM</v>
      </c>
      <c r="E87" s="46">
        <f>Sheet2!F84</f>
        <v>1.4502001E-2</v>
      </c>
      <c r="F87" s="35">
        <f>Sheet2!G84</f>
        <v>3658337</v>
      </c>
      <c r="G87" s="12">
        <f>Sheet2!J84</f>
        <v>4200000000</v>
      </c>
      <c r="H87" s="21">
        <f>Sheet2!R84</f>
        <v>0</v>
      </c>
      <c r="I87" s="21">
        <f>Sheet2!AH84</f>
        <v>0</v>
      </c>
      <c r="J87" s="12">
        <f>Sheet2!AQ84</f>
        <v>0</v>
      </c>
      <c r="K87" s="12">
        <f>Sheet2!AT84</f>
        <v>0</v>
      </c>
      <c r="L87" s="21">
        <f>Sheet2!AV84</f>
        <v>1834000000</v>
      </c>
    </row>
    <row r="88" spans="1:12" x14ac:dyDescent="0.25">
      <c r="A88" s="46" t="str">
        <f>Sheet2!A85</f>
        <v>Russia &amp; CIS</v>
      </c>
      <c r="B88" s="46" t="str">
        <f>Sheet2!C85</f>
        <v>JSC International Airport Dushanbe</v>
      </c>
      <c r="C88" s="46" t="str">
        <f>Sheet2!D85</f>
        <v>6 months Ending June 2018</v>
      </c>
      <c r="D88" s="46" t="str">
        <f>Sheet2!E85</f>
        <v>TJS</v>
      </c>
      <c r="E88" s="46">
        <f>Sheet2!F85</f>
        <v>3.5392253200000001E-2</v>
      </c>
      <c r="F88" s="35">
        <f>Sheet2!G85</f>
        <v>611500</v>
      </c>
      <c r="G88" s="12">
        <f>Sheet2!J85</f>
        <v>180200000</v>
      </c>
      <c r="H88" s="21">
        <f>Sheet2!R85</f>
        <v>0</v>
      </c>
      <c r="I88" s="21">
        <f>Sheet2!AH85</f>
        <v>0</v>
      </c>
      <c r="J88" s="12">
        <f>Sheet2!AQ85</f>
        <v>0</v>
      </c>
      <c r="K88" s="12">
        <f>Sheet2!AT85</f>
        <v>0</v>
      </c>
      <c r="L88" s="21">
        <f>Sheet2!AV85</f>
        <v>0</v>
      </c>
    </row>
    <row r="89" spans="1:12" x14ac:dyDescent="0.25">
      <c r="A89" s="46" t="str">
        <f>Sheet2!A86</f>
        <v>Russia &amp; CIS</v>
      </c>
      <c r="B89" s="46" t="str">
        <f>Sheet2!C86</f>
        <v>Boryspil International Airport</v>
      </c>
      <c r="C89" s="46" t="str">
        <f>Sheet2!D86</f>
        <v>Year Ending Dec 2017</v>
      </c>
      <c r="D89" s="46" t="str">
        <f>Sheet2!E86</f>
        <v>UAH</v>
      </c>
      <c r="E89" s="46">
        <f>Sheet2!F86</f>
        <v>3.5392253200000001E-2</v>
      </c>
      <c r="F89" s="35">
        <f>Sheet2!G86</f>
        <v>10554757</v>
      </c>
      <c r="G89" s="12">
        <f>Sheet2!J86</f>
        <v>4000000000</v>
      </c>
      <c r="H89" s="21">
        <f>Sheet2!R86</f>
        <v>640000000</v>
      </c>
      <c r="I89" s="21">
        <f>Sheet2!AH86</f>
        <v>1983000000</v>
      </c>
      <c r="J89" s="12">
        <f>Sheet2!AQ86</f>
        <v>0</v>
      </c>
      <c r="K89" s="12">
        <f>Sheet2!AT86</f>
        <v>0</v>
      </c>
      <c r="L89" s="21">
        <f>Sheet2!AV86</f>
        <v>0</v>
      </c>
    </row>
    <row r="90" spans="1:12" x14ac:dyDescent="0.25">
      <c r="A90" s="46" t="str">
        <f>Sheet2!A87</f>
        <v>Russia &amp; CIS</v>
      </c>
      <c r="B90" s="46" t="str">
        <f>Sheet2!C87</f>
        <v>TAV Urban Georgia LLC (Tbilisi &amp; Batumi Airports)</v>
      </c>
      <c r="C90" s="46" t="str">
        <f>Sheet2!D87</f>
        <v>Year Ending Dec 2018</v>
      </c>
      <c r="D90" s="46" t="str">
        <f>Sheet2!E87</f>
        <v>EUR</v>
      </c>
      <c r="E90" s="46">
        <f>Sheet2!F87</f>
        <v>1.1998614888000001</v>
      </c>
      <c r="F90" s="35">
        <f>Sheet2!G87</f>
        <v>4400000</v>
      </c>
      <c r="G90" s="12">
        <f>Sheet2!J87</f>
        <v>92700000</v>
      </c>
      <c r="H90" s="21">
        <f>Sheet2!R87</f>
        <v>0</v>
      </c>
      <c r="I90" s="21">
        <f>Sheet2!AH87</f>
        <v>0</v>
      </c>
      <c r="J90" s="12">
        <f>Sheet2!AQ87</f>
        <v>74400000</v>
      </c>
      <c r="K90" s="12">
        <f>Sheet2!AT87</f>
        <v>0</v>
      </c>
      <c r="L90" s="21">
        <f>Sheet2!AV87</f>
        <v>0</v>
      </c>
    </row>
    <row r="91" spans="1:12" x14ac:dyDescent="0.25">
      <c r="A91" s="46" t="str">
        <f>Sheet2!A88</f>
        <v>Russia &amp; CIS</v>
      </c>
      <c r="B91" s="46" t="str">
        <f>Sheet2!C88</f>
        <v>Corporacion America (Yerevan International Airport)</v>
      </c>
      <c r="C91" s="46" t="str">
        <f>Sheet2!D88</f>
        <v>Year Ending Dec 2017</v>
      </c>
      <c r="D91" s="46" t="str">
        <f>Sheet2!E88</f>
        <v>USD</v>
      </c>
      <c r="E91" s="46">
        <f>Sheet2!F88</f>
        <v>1</v>
      </c>
      <c r="F91" s="35">
        <f>Sheet2!G88</f>
        <v>2448250</v>
      </c>
      <c r="G91" s="12">
        <f>Sheet2!J88</f>
        <v>110250000.00000001</v>
      </c>
      <c r="H91" s="21">
        <f>Sheet2!R88</f>
        <v>0</v>
      </c>
      <c r="I91" s="21">
        <f>Sheet2!AH88</f>
        <v>0</v>
      </c>
      <c r="J91" s="12">
        <f>Sheet2!AQ88</f>
        <v>36960000</v>
      </c>
      <c r="K91" s="12">
        <f>Sheet2!AT88</f>
        <v>0</v>
      </c>
      <c r="L91" s="21">
        <f>Sheet2!AV88</f>
        <v>0</v>
      </c>
    </row>
    <row r="92" spans="1:12" x14ac:dyDescent="0.25">
      <c r="A92" s="46" t="e">
        <f>Sheet2!#REF!</f>
        <v>#REF!</v>
      </c>
      <c r="B92" s="46" t="e">
        <f>Sheet2!#REF!</f>
        <v>#REF!</v>
      </c>
      <c r="C92" s="46" t="e">
        <f>Sheet2!#REF!</f>
        <v>#REF!</v>
      </c>
      <c r="D92" s="46" t="e">
        <f>Sheet2!#REF!</f>
        <v>#REF!</v>
      </c>
      <c r="E92" s="46" t="e">
        <f>Sheet2!#REF!</f>
        <v>#REF!</v>
      </c>
      <c r="F92" s="35" t="e">
        <f>Sheet2!#REF!</f>
        <v>#REF!</v>
      </c>
      <c r="G92" s="12" t="e">
        <f>Sheet2!#REF!</f>
        <v>#REF!</v>
      </c>
      <c r="H92" s="21" t="e">
        <f>Sheet2!#REF!</f>
        <v>#REF!</v>
      </c>
      <c r="I92" s="21" t="e">
        <f>Sheet2!#REF!</f>
        <v>#REF!</v>
      </c>
      <c r="J92" s="12" t="e">
        <f>Sheet2!#REF!</f>
        <v>#REF!</v>
      </c>
      <c r="K92" s="12" t="e">
        <f>Sheet2!#REF!</f>
        <v>#REF!</v>
      </c>
      <c r="L92" s="21" t="e">
        <f>Sheet2!#REF!</f>
        <v>#REF!</v>
      </c>
    </row>
    <row r="93" spans="1:12" x14ac:dyDescent="0.25">
      <c r="A93" s="46" t="str">
        <f>Sheet2!A89</f>
        <v>Southern Europe</v>
      </c>
      <c r="B93" s="46" t="str">
        <f>Sheet2!C89</f>
        <v>Dubrovnik Airport</v>
      </c>
      <c r="C93" s="46" t="str">
        <f>Sheet2!D89</f>
        <v>Year Ending Dec 2017</v>
      </c>
      <c r="D93" s="46" t="str">
        <f>Sheet2!E89</f>
        <v>HRK</v>
      </c>
      <c r="E93" s="46">
        <f>Sheet2!F89</f>
        <v>0.14032723920000001</v>
      </c>
      <c r="F93" s="35">
        <f>Sheet2!G89</f>
        <v>2323065</v>
      </c>
      <c r="G93" s="12">
        <f>Sheet2!J89</f>
        <v>349622152</v>
      </c>
      <c r="H93" s="21">
        <f>Sheet2!R89</f>
        <v>144707011</v>
      </c>
      <c r="I93" s="21">
        <f>Sheet2!AH89</f>
        <v>260502302</v>
      </c>
      <c r="J93" s="12">
        <f>Sheet2!AQ89</f>
        <v>149650714</v>
      </c>
      <c r="K93" s="12">
        <f>Sheet2!AT89</f>
        <v>89159850</v>
      </c>
      <c r="L93" s="21">
        <f>Sheet2!AV89</f>
        <v>72381707</v>
      </c>
    </row>
    <row r="94" spans="1:12" x14ac:dyDescent="0.25">
      <c r="A94" s="46" t="str">
        <f>Sheet2!A90</f>
        <v>Southern Europe</v>
      </c>
      <c r="B94" s="46" t="str">
        <f>Sheet2!C90</f>
        <v>Fraport (Varna and Bourgas Airports)</v>
      </c>
      <c r="C94" s="46" t="str">
        <f>Sheet2!D90</f>
        <v>Year Ending Dec 2018</v>
      </c>
      <c r="D94" s="46" t="str">
        <f>Sheet2!E90</f>
        <v>EUR</v>
      </c>
      <c r="E94" s="46">
        <f>Sheet2!F90</f>
        <v>1.1998614888000001</v>
      </c>
      <c r="F94" s="35">
        <f>Sheet2!G90</f>
        <v>5558363</v>
      </c>
      <c r="G94" s="12">
        <f>Sheet2!J90</f>
        <v>74000000</v>
      </c>
      <c r="H94" s="21">
        <f>Sheet2!R90</f>
        <v>0</v>
      </c>
      <c r="I94" s="21">
        <f>Sheet2!AH90</f>
        <v>0</v>
      </c>
      <c r="J94" s="12">
        <f>Sheet2!AQ90</f>
        <v>42000000</v>
      </c>
      <c r="K94" s="12">
        <f>Sheet2!AT90</f>
        <v>30000000</v>
      </c>
      <c r="L94" s="21">
        <f>Sheet2!AV90</f>
        <v>23200000</v>
      </c>
    </row>
    <row r="95" spans="1:12" x14ac:dyDescent="0.25">
      <c r="A95" s="46" t="str">
        <f>Sheet2!A91</f>
        <v>Southern Europe</v>
      </c>
      <c r="B95" s="46" t="str">
        <f>Sheet2!C91</f>
        <v>Sofia Airport EAD</v>
      </c>
      <c r="C95" s="46" t="str">
        <f>Sheet2!D91</f>
        <v>Year Ending Dec 2016</v>
      </c>
      <c r="D95" s="46" t="str">
        <f>Sheet2!E91</f>
        <v>BGN</v>
      </c>
      <c r="E95" s="46">
        <f>Sheet2!F91</f>
        <v>0.53840728360000001</v>
      </c>
      <c r="F95" s="35">
        <f>Sheet2!G91</f>
        <v>4979760</v>
      </c>
      <c r="G95" s="12">
        <f>Sheet2!J91</f>
        <v>82000000</v>
      </c>
      <c r="H95" s="21">
        <f>Sheet2!R91</f>
        <v>0</v>
      </c>
      <c r="I95" s="21">
        <f>Sheet2!AH91</f>
        <v>97000000</v>
      </c>
      <c r="J95" s="12">
        <f>Sheet2!AQ91</f>
        <v>0</v>
      </c>
      <c r="K95" s="12">
        <f>Sheet2!AT91</f>
        <v>-15000000</v>
      </c>
      <c r="L95" s="21">
        <f>Sheet2!AV91</f>
        <v>-13800000</v>
      </c>
    </row>
    <row r="96" spans="1:12" x14ac:dyDescent="0.25">
      <c r="A96" s="46" t="str">
        <f>Sheet2!A92</f>
        <v>Southern Europe</v>
      </c>
      <c r="B96" s="46" t="str">
        <f>Sheet2!C92</f>
        <v>Bucharest Airports Company</v>
      </c>
      <c r="C96" s="46" t="str">
        <f>Sheet2!D92</f>
        <v>Year Ending Dec 2016</v>
      </c>
      <c r="D96" s="46" t="str">
        <f>Sheet2!E92</f>
        <v>EUR</v>
      </c>
      <c r="E96" s="46">
        <f>Sheet2!F92</f>
        <v>1.0522549824</v>
      </c>
      <c r="F96" s="35">
        <f>Sheet2!G92</f>
        <v>12840000</v>
      </c>
      <c r="G96" s="12">
        <f>Sheet2!J92</f>
        <v>236000000</v>
      </c>
      <c r="H96" s="21">
        <f>Sheet2!R92</f>
        <v>0</v>
      </c>
      <c r="I96" s="21">
        <f>Sheet2!AH92</f>
        <v>630300000</v>
      </c>
      <c r="J96" s="12">
        <f>Sheet2!AQ92</f>
        <v>0</v>
      </c>
      <c r="K96" s="12">
        <f>Sheet2!AT92</f>
        <v>0</v>
      </c>
      <c r="L96" s="21">
        <f>Sheet2!AV92</f>
        <v>0</v>
      </c>
    </row>
    <row r="97" spans="1:12" x14ac:dyDescent="0.25">
      <c r="A97" s="46" t="str">
        <f>Sheet2!A93</f>
        <v>Southern Europe</v>
      </c>
      <c r="B97" s="46" t="str">
        <f>Sheet2!C93</f>
        <v>Fraport Slovenjia</v>
      </c>
      <c r="C97" s="46" t="str">
        <f>Sheet2!D93</f>
        <v>Year Ending Dec 2017</v>
      </c>
      <c r="D97" s="46" t="str">
        <f>Sheet2!E93</f>
        <v>EUR</v>
      </c>
      <c r="E97" s="46">
        <f>Sheet2!F93</f>
        <v>1.1998614888000001</v>
      </c>
      <c r="F97" s="35">
        <f>Sheet2!G93</f>
        <v>1688558</v>
      </c>
      <c r="G97" s="12">
        <f>Sheet2!J93</f>
        <v>41890000</v>
      </c>
      <c r="H97" s="21">
        <f>Sheet2!R93</f>
        <v>10602000</v>
      </c>
      <c r="I97" s="21">
        <f>Sheet2!AH93</f>
        <v>30203000</v>
      </c>
      <c r="J97" s="12">
        <f>Sheet2!AQ93</f>
        <v>16042000</v>
      </c>
      <c r="K97" s="12">
        <f>Sheet2!AT93</f>
        <v>11687000</v>
      </c>
      <c r="L97" s="21">
        <f>Sheet2!AV93</f>
        <v>9647000</v>
      </c>
    </row>
    <row r="98" spans="1:12" x14ac:dyDescent="0.25">
      <c r="A98" s="46" t="str">
        <f>Sheet2!A94</f>
        <v>Southern Europe</v>
      </c>
      <c r="B98" s="46" t="str">
        <f>Sheet2!C94</f>
        <v>Fraport "Group B" (Greek Airports)</v>
      </c>
      <c r="C98" s="46" t="str">
        <f>Sheet2!D94</f>
        <v>Year Ending Dec 2017</v>
      </c>
      <c r="D98" s="46" t="str">
        <f>Sheet2!E94</f>
        <v>EUR</v>
      </c>
      <c r="E98" s="46">
        <f>Sheet2!F94</f>
        <v>1.1998614888000001</v>
      </c>
      <c r="F98" s="35">
        <f>Sheet2!G94</f>
        <v>12029678</v>
      </c>
      <c r="G98" s="12">
        <f>Sheet2!J94</f>
        <v>104400000</v>
      </c>
      <c r="H98" s="21">
        <f>Sheet2!R94</f>
        <v>19382422</v>
      </c>
      <c r="I98" s="21">
        <f>Sheet2!AH94</f>
        <v>70515112</v>
      </c>
      <c r="J98" s="12">
        <f>Sheet2!AQ94</f>
        <v>50124086</v>
      </c>
      <c r="K98" s="12">
        <f>Sheet2!AT94</f>
        <v>33884888</v>
      </c>
      <c r="L98" s="21">
        <f>Sheet2!AV94</f>
        <v>1096816</v>
      </c>
    </row>
    <row r="99" spans="1:12" x14ac:dyDescent="0.25">
      <c r="A99" s="46" t="str">
        <f>Sheet2!A95</f>
        <v>Southern Europe</v>
      </c>
      <c r="B99" s="46" t="str">
        <f>Sheet2!C95</f>
        <v>Fraport ( "Group A" Airports)</v>
      </c>
      <c r="C99" s="46" t="str">
        <f>Sheet2!D95</f>
        <v>Year Ending Dec 2017</v>
      </c>
      <c r="D99" s="46" t="str">
        <f>Sheet2!E95</f>
        <v>EUR</v>
      </c>
      <c r="E99" s="46">
        <f>Sheet2!F95</f>
        <v>1.1998614888000001</v>
      </c>
      <c r="F99" s="35">
        <f>Sheet2!G95</f>
        <v>15404230</v>
      </c>
      <c r="G99" s="12">
        <f>Sheet2!J95</f>
        <v>128900000</v>
      </c>
      <c r="H99" s="21">
        <f>Sheet2!R95</f>
        <v>26146954</v>
      </c>
      <c r="I99" s="21">
        <f>Sheet2!AH95</f>
        <v>77505071</v>
      </c>
      <c r="J99" s="12">
        <f>Sheet2!AQ95</f>
        <v>67206774</v>
      </c>
      <c r="K99" s="12">
        <f>Sheet2!AT95</f>
        <v>51394929</v>
      </c>
      <c r="L99" s="21">
        <f>Sheet2!AV95</f>
        <v>13274487</v>
      </c>
    </row>
    <row r="100" spans="1:12" x14ac:dyDescent="0.25">
      <c r="A100" s="46" t="str">
        <f>Sheet2!A96</f>
        <v>Southern Europe</v>
      </c>
      <c r="B100" s="46" t="str">
        <f>Sheet2!C96</f>
        <v>Athens International Airport S.A</v>
      </c>
      <c r="C100" s="46" t="str">
        <f>Sheet2!D96</f>
        <v>Year Ending Dec 2018</v>
      </c>
      <c r="D100" s="46" t="str">
        <f>Sheet2!E96</f>
        <v>EUR</v>
      </c>
      <c r="E100" s="46">
        <f>Sheet2!F96</f>
        <v>1.1998614888000001</v>
      </c>
      <c r="F100" s="35">
        <f>Sheet2!G96</f>
        <v>24100000</v>
      </c>
      <c r="G100" s="12">
        <f>Sheet2!J96</f>
        <v>495500000</v>
      </c>
      <c r="H100" s="21">
        <f>Sheet2!R96</f>
        <v>176500000</v>
      </c>
      <c r="I100" s="21">
        <f>Sheet2!AH96</f>
        <v>153200000</v>
      </c>
      <c r="J100" s="12">
        <f>Sheet2!AQ96</f>
        <v>342300000</v>
      </c>
      <c r="K100" s="12">
        <f>Sheet2!AT96</f>
        <v>239700000</v>
      </c>
      <c r="L100" s="21">
        <f>Sheet2!AV96</f>
        <v>171000000</v>
      </c>
    </row>
    <row r="101" spans="1:12" x14ac:dyDescent="0.25">
      <c r="A101" s="46" t="str">
        <f>Sheet2!A97</f>
        <v>Southern Europe</v>
      </c>
      <c r="B101" s="46" t="str">
        <f>Sheet2!C97</f>
        <v>Belgrade Airport</v>
      </c>
      <c r="C101" s="46" t="str">
        <f>Sheet2!D97</f>
        <v>Year Ending Dec 2017</v>
      </c>
      <c r="D101" s="46" t="str">
        <f>Sheet2!E97</f>
        <v>EUR</v>
      </c>
      <c r="E101" s="46">
        <f>Sheet2!F97</f>
        <v>1.1998614888000001</v>
      </c>
      <c r="F101" s="35">
        <f>Sheet2!G97</f>
        <v>5343000</v>
      </c>
      <c r="G101" s="12">
        <f>Sheet2!J97</f>
        <v>84000000</v>
      </c>
      <c r="H101" s="21">
        <f>Sheet2!R97</f>
        <v>0</v>
      </c>
      <c r="I101" s="21">
        <f>Sheet2!AH97</f>
        <v>0</v>
      </c>
      <c r="J101" s="12">
        <f>Sheet2!AQ97</f>
        <v>0</v>
      </c>
      <c r="K101" s="12">
        <f>Sheet2!AT97</f>
        <v>0</v>
      </c>
      <c r="L101" s="21">
        <f>Sheet2!AV97</f>
        <v>0</v>
      </c>
    </row>
    <row r="102" spans="1:12" x14ac:dyDescent="0.25">
      <c r="A102" s="46" t="str">
        <f>Sheet2!A98</f>
        <v>Southern Europe</v>
      </c>
      <c r="B102" s="46" t="str">
        <f>Sheet2!C98</f>
        <v>TAV Macedonia (Skopje and Ohrid  Airports)</v>
      </c>
      <c r="C102" s="46" t="str">
        <f>Sheet2!D98</f>
        <v>Year Ending Dec 2018</v>
      </c>
      <c r="D102" s="46" t="str">
        <f>Sheet2!E98</f>
        <v>EUR</v>
      </c>
      <c r="E102" s="46">
        <f>Sheet2!F98</f>
        <v>1.1998614888000001</v>
      </c>
      <c r="F102" s="35">
        <f>Sheet2!G98</f>
        <v>2343000</v>
      </c>
      <c r="G102" s="12">
        <f>Sheet2!J98</f>
        <v>31200000</v>
      </c>
      <c r="H102" s="21">
        <f>Sheet2!R98</f>
        <v>0</v>
      </c>
      <c r="I102" s="21">
        <f>Sheet2!AH98</f>
        <v>0</v>
      </c>
      <c r="J102" s="12">
        <f>Sheet2!AQ98</f>
        <v>14300000</v>
      </c>
      <c r="K102" s="12">
        <f>Sheet2!AT98</f>
        <v>0</v>
      </c>
      <c r="L102" s="21">
        <f>Sheet2!AV98</f>
        <v>0</v>
      </c>
    </row>
    <row r="103" spans="1:12" x14ac:dyDescent="0.25">
      <c r="A103" s="46" t="str">
        <f>Sheet2!A99</f>
        <v>Southern Europe</v>
      </c>
      <c r="B103" s="46" t="str">
        <f>Sheet2!C99</f>
        <v>TAV Airports (Istanbul Ataturk)</v>
      </c>
      <c r="C103" s="46" t="str">
        <f>Sheet2!D99</f>
        <v>Year Ending Dec 2018</v>
      </c>
      <c r="D103" s="46" t="str">
        <f>Sheet2!E99</f>
        <v>EUR</v>
      </c>
      <c r="E103" s="46">
        <f>Sheet2!F99</f>
        <v>1.1998614888000001</v>
      </c>
      <c r="F103" s="35">
        <f>Sheet2!G99</f>
        <v>67981000</v>
      </c>
      <c r="G103" s="12">
        <f>Sheet2!J99</f>
        <v>506500000</v>
      </c>
      <c r="H103" s="21">
        <f>Sheet2!R99</f>
        <v>0</v>
      </c>
      <c r="I103" s="21">
        <f>Sheet2!AH99</f>
        <v>0</v>
      </c>
      <c r="J103" s="12">
        <f>Sheet2!AQ99</f>
        <v>260600000</v>
      </c>
      <c r="K103" s="12">
        <f>Sheet2!AT99</f>
        <v>0</v>
      </c>
      <c r="L103" s="21">
        <f>Sheet2!AV99</f>
        <v>0</v>
      </c>
    </row>
    <row r="104" spans="1:12" x14ac:dyDescent="0.25">
      <c r="A104" s="46" t="str">
        <f>Sheet2!A100</f>
        <v>Southern Europe</v>
      </c>
      <c r="B104" s="46" t="str">
        <f>Sheet2!C100</f>
        <v>TAV Airports (Ankara Airport)</v>
      </c>
      <c r="C104" s="46" t="str">
        <f>Sheet2!D100</f>
        <v>Year Ending Dec 2018</v>
      </c>
      <c r="D104" s="46" t="str">
        <f>Sheet2!E100</f>
        <v>EUR</v>
      </c>
      <c r="E104" s="46">
        <f>Sheet2!F100</f>
        <v>1.1998614888000001</v>
      </c>
      <c r="F104" s="35">
        <f>Sheet2!G100</f>
        <v>16372000</v>
      </c>
      <c r="G104" s="12">
        <f>Sheet2!J100</f>
        <v>54200000</v>
      </c>
      <c r="H104" s="21">
        <f>Sheet2!R100</f>
        <v>0</v>
      </c>
      <c r="I104" s="21">
        <f>Sheet2!AH100</f>
        <v>0</v>
      </c>
      <c r="J104" s="12">
        <f>Sheet2!AQ100</f>
        <v>31000000</v>
      </c>
      <c r="K104" s="12">
        <f>Sheet2!AT100</f>
        <v>0</v>
      </c>
      <c r="L104" s="21">
        <f>Sheet2!AV100</f>
        <v>0</v>
      </c>
    </row>
    <row r="105" spans="1:12" x14ac:dyDescent="0.25">
      <c r="A105" s="46" t="str">
        <f>Sheet2!A101</f>
        <v>Southern Europe</v>
      </c>
      <c r="B105" s="46" t="str">
        <f>Sheet2!C101</f>
        <v>TAV Airports (Izmir Airport)</v>
      </c>
      <c r="C105" s="46" t="str">
        <f>Sheet2!D101</f>
        <v>Year Ending Dec 2018</v>
      </c>
      <c r="D105" s="46" t="str">
        <f>Sheet2!E101</f>
        <v>EUR</v>
      </c>
      <c r="E105" s="46">
        <f>Sheet2!F101</f>
        <v>1.1998614888000001</v>
      </c>
      <c r="F105" s="35">
        <f>Sheet2!G101</f>
        <v>13426000</v>
      </c>
      <c r="G105" s="12">
        <f>Sheet2!J101</f>
        <v>69400000</v>
      </c>
      <c r="H105" s="21">
        <f>Sheet2!R101</f>
        <v>0</v>
      </c>
      <c r="I105" s="21">
        <f>Sheet2!AH101</f>
        <v>0</v>
      </c>
      <c r="J105" s="12">
        <f>Sheet2!AQ101</f>
        <v>46200000</v>
      </c>
      <c r="K105" s="12">
        <f>Sheet2!AT101</f>
        <v>0</v>
      </c>
      <c r="L105" s="21">
        <f>Sheet2!AV101</f>
        <v>0</v>
      </c>
    </row>
    <row r="106" spans="1:12" x14ac:dyDescent="0.25">
      <c r="A106" s="46" t="str">
        <f>Sheet2!A102</f>
        <v>Southern Europe</v>
      </c>
      <c r="B106" s="46" t="str">
        <f>Sheet2!C102</f>
        <v>TAV Airports (Gazipasa Airport)</v>
      </c>
      <c r="C106" s="46" t="str">
        <f>Sheet2!D102</f>
        <v>Year Ending Dec 2018</v>
      </c>
      <c r="D106" s="46" t="str">
        <f>Sheet2!E102</f>
        <v>EUR</v>
      </c>
      <c r="E106" s="46">
        <f>Sheet2!F102</f>
        <v>1.1998614888000001</v>
      </c>
      <c r="F106" s="35">
        <f>Sheet2!G102</f>
        <v>1216000</v>
      </c>
      <c r="G106" s="12">
        <f>Sheet2!J102</f>
        <v>7100000</v>
      </c>
      <c r="H106" s="21">
        <f>Sheet2!R102</f>
        <v>0</v>
      </c>
      <c r="I106" s="21">
        <f>Sheet2!AH102</f>
        <v>0</v>
      </c>
      <c r="J106" s="12">
        <f>Sheet2!AQ102</f>
        <v>4000000</v>
      </c>
      <c r="K106" s="12">
        <f>Sheet2!AT102</f>
        <v>0</v>
      </c>
      <c r="L106" s="21">
        <f>Sheet2!AV102</f>
        <v>0</v>
      </c>
    </row>
    <row r="107" spans="1:12" x14ac:dyDescent="0.25">
      <c r="A107" s="46" t="str">
        <f>Sheet2!A103</f>
        <v>Southern Europe</v>
      </c>
      <c r="B107" s="46" t="str">
        <f>Sheet2!C103</f>
        <v>TAV Airports (Bodrum Airport)</v>
      </c>
      <c r="C107" s="46" t="str">
        <f>Sheet2!D103</f>
        <v>Year Ending Dec 2018</v>
      </c>
      <c r="D107" s="46" t="str">
        <f>Sheet2!E103</f>
        <v>EUR</v>
      </c>
      <c r="E107" s="46">
        <f>Sheet2!F103</f>
        <v>1.1998614888000001</v>
      </c>
      <c r="F107" s="35">
        <f>Sheet2!G103</f>
        <v>4186000</v>
      </c>
      <c r="G107" s="12">
        <f>Sheet2!J103</f>
        <v>29000000</v>
      </c>
      <c r="H107" s="21">
        <f>Sheet2!R103</f>
        <v>0</v>
      </c>
      <c r="I107" s="21">
        <f>Sheet2!AH103</f>
        <v>0</v>
      </c>
      <c r="J107" s="12">
        <f>Sheet2!AQ103</f>
        <v>20100000</v>
      </c>
      <c r="K107" s="12">
        <f>Sheet2!AT103</f>
        <v>0</v>
      </c>
      <c r="L107" s="21">
        <f>Sheet2!AV103</f>
        <v>0</v>
      </c>
    </row>
    <row r="108" spans="1:12" x14ac:dyDescent="0.25">
      <c r="A108" s="46" t="str">
        <f>Sheet2!A104</f>
        <v>Southern Europe</v>
      </c>
      <c r="B108" s="46" t="str">
        <f>Sheet2!C104</f>
        <v>TAV Airports (Antalya Airport)</v>
      </c>
      <c r="C108" s="46" t="str">
        <f>Sheet2!D104</f>
        <v>Year Ending Dec 2018</v>
      </c>
      <c r="D108" s="46" t="str">
        <f>Sheet2!E104</f>
        <v>EUR</v>
      </c>
      <c r="E108" s="46">
        <f>Sheet2!F104</f>
        <v>1.1998614888000001</v>
      </c>
      <c r="F108" s="35">
        <f>Sheet2!G104</f>
        <v>31566000</v>
      </c>
      <c r="G108" s="12">
        <f>Sheet2!J104</f>
        <v>324000000</v>
      </c>
      <c r="H108" s="21">
        <f>Sheet2!R104</f>
        <v>0</v>
      </c>
      <c r="I108" s="21">
        <f>Sheet2!AH104</f>
        <v>0</v>
      </c>
      <c r="J108" s="12">
        <f>Sheet2!AQ104</f>
        <v>158000000</v>
      </c>
      <c r="K108" s="12">
        <f>Sheet2!AT104</f>
        <v>0</v>
      </c>
      <c r="L108" s="21">
        <f>Sheet2!AV104</f>
        <v>91400000</v>
      </c>
    </row>
    <row r="109" spans="1:12" x14ac:dyDescent="0.25">
      <c r="A109" s="46" t="str">
        <f>Sheet2!A105</f>
        <v>Southern Europe</v>
      </c>
      <c r="B109" s="46" t="str">
        <f>Sheet2!C105</f>
        <v>Malaysia Airport Holdings Bhd (Sabiha Gocken International Airport)</v>
      </c>
      <c r="C109" s="46" t="str">
        <f>Sheet2!D105</f>
        <v>Year Ending Dec 2018</v>
      </c>
      <c r="D109" s="46" t="str">
        <f>Sheet2!E105</f>
        <v>EUR</v>
      </c>
      <c r="E109" s="46">
        <f>Sheet2!F105</f>
        <v>1.1998614888000001</v>
      </c>
      <c r="F109" s="35">
        <f>Sheet2!G105</f>
        <v>34100000</v>
      </c>
      <c r="G109" s="12">
        <f>Sheet2!J105</f>
        <v>274900000</v>
      </c>
      <c r="H109" s="21">
        <f>Sheet2!R105</f>
        <v>0</v>
      </c>
      <c r="I109" s="21">
        <f>Sheet2!AH105</f>
        <v>0</v>
      </c>
      <c r="J109" s="12">
        <f>Sheet2!AQ105</f>
        <v>0</v>
      </c>
      <c r="K109" s="12">
        <f>Sheet2!AT105</f>
        <v>0</v>
      </c>
      <c r="L109" s="21">
        <f>Sheet2!AV105</f>
        <v>0</v>
      </c>
    </row>
    <row r="110" spans="1:12" x14ac:dyDescent="0.25">
      <c r="A110" s="46" t="str">
        <f>Sheet2!A106</f>
        <v>Central and Eastern Europe</v>
      </c>
      <c r="B110" s="46" t="str">
        <f>Sheet2!C106</f>
        <v>Letiště Praha, Ltd.</v>
      </c>
      <c r="C110" s="46" t="str">
        <f>Sheet2!D106</f>
        <v>Year Ending Dec 2017</v>
      </c>
      <c r="D110" s="46" t="str">
        <f>Sheet2!E106</f>
        <v>CZK</v>
      </c>
      <c r="E110" s="46">
        <f>Sheet2!F106</f>
        <v>4.5999999999999999E-2</v>
      </c>
      <c r="F110" s="35">
        <f>Sheet2!G106</f>
        <v>15415001</v>
      </c>
      <c r="G110" s="12">
        <f>Sheet2!J106</f>
        <v>7368826000</v>
      </c>
      <c r="H110" s="21">
        <f>Sheet2!R106</f>
        <v>1774554000</v>
      </c>
      <c r="I110" s="21">
        <f>Sheet2!AH106</f>
        <v>4814798000</v>
      </c>
      <c r="J110" s="12">
        <f>Sheet2!AQ106</f>
        <v>2910858000</v>
      </c>
      <c r="K110" s="12">
        <f>Sheet2!AT106</f>
        <v>2554028000</v>
      </c>
      <c r="L110" s="21">
        <f>Sheet2!AV106</f>
        <v>2046186000</v>
      </c>
    </row>
    <row r="111" spans="1:12" x14ac:dyDescent="0.25">
      <c r="A111" s="46" t="str">
        <f>Sheet2!A107</f>
        <v>Central and Eastern Europe</v>
      </c>
      <c r="B111" s="46" t="str">
        <f>Sheet2!C107</f>
        <v>Budapest Airport Ltd</v>
      </c>
      <c r="C111" s="46" t="str">
        <f>Sheet2!D107</f>
        <v>Year Ending Dec 2017</v>
      </c>
      <c r="D111" s="46" t="str">
        <f>Sheet2!E107</f>
        <v>EUR</v>
      </c>
      <c r="E111" s="46">
        <f>Sheet2!F107</f>
        <v>1.1998614888000001</v>
      </c>
      <c r="F111" s="35">
        <f>Sheet2!G107</f>
        <v>13100000</v>
      </c>
      <c r="G111" s="12">
        <f>Sheet2!J107</f>
        <v>257600000</v>
      </c>
      <c r="H111" s="21">
        <f>Sheet2!R107</f>
        <v>69552000</v>
      </c>
      <c r="I111" s="21">
        <f>Sheet2!AH107</f>
        <v>0</v>
      </c>
      <c r="J111" s="12">
        <f>Sheet2!AQ107</f>
        <v>197800000</v>
      </c>
      <c r="K111" s="12">
        <f>Sheet2!AT107</f>
        <v>0</v>
      </c>
      <c r="L111" s="21">
        <f>Sheet2!AV107</f>
        <v>0</v>
      </c>
    </row>
    <row r="112" spans="1:12" x14ac:dyDescent="0.25">
      <c r="A112" s="46" t="str">
        <f>Sheet2!A108</f>
        <v>Central and Eastern Europe</v>
      </c>
      <c r="B112" s="46" t="str">
        <f>Sheet2!C108</f>
        <v>Flughafen Wien Group</v>
      </c>
      <c r="C112" s="46" t="str">
        <f>Sheet2!D108</f>
        <v>Year Ending Dec 2018</v>
      </c>
      <c r="D112" s="46" t="str">
        <f>Sheet2!E108</f>
        <v xml:space="preserve"> EUR</v>
      </c>
      <c r="E112" s="46">
        <f>Sheet2!F108</f>
        <v>1.1998614888000001</v>
      </c>
      <c r="F112" s="35">
        <f>Sheet2!G108</f>
        <v>34400000</v>
      </c>
      <c r="G112" s="12">
        <f>Sheet2!J108</f>
        <v>799700000</v>
      </c>
      <c r="H112" s="21">
        <f>Sheet2!R108</f>
        <v>0</v>
      </c>
      <c r="I112" s="21">
        <f>Sheet2!AH108</f>
        <v>591200000</v>
      </c>
      <c r="J112" s="12">
        <f>Sheet2!AQ108</f>
        <v>350400000</v>
      </c>
      <c r="K112" s="12">
        <f>Sheet2!AT108</f>
        <v>220800000</v>
      </c>
      <c r="L112" s="21">
        <f>Sheet2!AV108</f>
        <v>151900000</v>
      </c>
    </row>
    <row r="113" spans="1:12" x14ac:dyDescent="0.25">
      <c r="A113" s="46" t="str">
        <f>Sheet2!A109</f>
        <v>Central and Eastern Europe</v>
      </c>
      <c r="B113" s="46" t="str">
        <f>Sheet2!C109</f>
        <v>Flughafen Wien Group (Vienna Airport)</v>
      </c>
      <c r="C113" s="46" t="str">
        <f>Sheet2!D109</f>
        <v>Year Ending Dec 2018</v>
      </c>
      <c r="D113" s="46" t="str">
        <f>Sheet2!E109</f>
        <v xml:space="preserve"> EUR</v>
      </c>
      <c r="E113" s="46">
        <f>Sheet2!F109</f>
        <v>1.1998614888000001</v>
      </c>
      <c r="F113" s="35">
        <f>Sheet2!G109</f>
        <v>27000000</v>
      </c>
      <c r="G113" s="12">
        <f>Sheet2!J109</f>
        <v>691300000</v>
      </c>
      <c r="H113" s="21">
        <f>Sheet2!R109</f>
        <v>299000000</v>
      </c>
      <c r="I113" s="21">
        <f>Sheet2!AH109</f>
        <v>0</v>
      </c>
      <c r="J113" s="12">
        <f>Sheet2!AQ109</f>
        <v>0</v>
      </c>
      <c r="K113" s="12">
        <f>Sheet2!AT109</f>
        <v>0</v>
      </c>
      <c r="L113" s="21">
        <f>Sheet2!AV109</f>
        <v>0</v>
      </c>
    </row>
    <row r="114" spans="1:12" x14ac:dyDescent="0.25">
      <c r="A114" s="46" t="str">
        <f>Sheet2!A110</f>
        <v>Central and Eastern Europe</v>
      </c>
      <c r="B114" s="46" t="str">
        <f>Sheet2!C110</f>
        <v>Flughafen Innsbruck</v>
      </c>
      <c r="C114" s="46" t="str">
        <f>Sheet2!D110</f>
        <v>Year Ending Dec 2017</v>
      </c>
      <c r="D114" s="46" t="str">
        <f>Sheet2!E110</f>
        <v>EUR</v>
      </c>
      <c r="E114" s="46">
        <f>Sheet2!F110</f>
        <v>1.1998614888000001</v>
      </c>
      <c r="F114" s="35">
        <f>Sheet2!G110</f>
        <v>1092547</v>
      </c>
      <c r="G114" s="12">
        <f>Sheet2!J110</f>
        <v>37329742.140000001</v>
      </c>
      <c r="H114" s="21">
        <f>Sheet2!R110</f>
        <v>7266651</v>
      </c>
      <c r="I114" s="21">
        <f>Sheet2!AH110</f>
        <v>28897742.140000001</v>
      </c>
      <c r="J114" s="12">
        <f>Sheet2!AQ110</f>
        <v>12940000</v>
      </c>
      <c r="K114" s="12">
        <f>Sheet2!AT110</f>
        <v>8432000</v>
      </c>
      <c r="L114" s="21">
        <f>Sheet2!AV110</f>
        <v>0</v>
      </c>
    </row>
    <row r="115" spans="1:12" x14ac:dyDescent="0.25">
      <c r="A115" s="46" t="str">
        <f>Sheet2!A111</f>
        <v>Central and Eastern Europe</v>
      </c>
      <c r="B115" s="46" t="str">
        <f>Sheet2!C111</f>
        <v>Flughafen Graz</v>
      </c>
      <c r="C115" s="46" t="str">
        <f>Sheet2!D111</f>
        <v>Year Ending Dec 2017</v>
      </c>
      <c r="D115" s="46" t="str">
        <f>Sheet2!E111</f>
        <v>EUR</v>
      </c>
      <c r="E115" s="46">
        <f>Sheet2!F111</f>
        <v>1.1998614888000001</v>
      </c>
      <c r="F115" s="35">
        <f>Sheet2!G111</f>
        <v>959098</v>
      </c>
      <c r="G115" s="12">
        <f>Sheet2!J111</f>
        <v>33000000</v>
      </c>
      <c r="H115" s="21">
        <f>Sheet2!R111</f>
        <v>6000000</v>
      </c>
      <c r="I115" s="21">
        <f>Sheet2!AH111</f>
        <v>26352535.120000001</v>
      </c>
      <c r="J115" s="12">
        <f>Sheet2!AQ111</f>
        <v>10683963.33</v>
      </c>
      <c r="K115" s="12">
        <f>Sheet2!AT111</f>
        <v>6647464.8799999999</v>
      </c>
      <c r="L115" s="21">
        <f>Sheet2!AV111</f>
        <v>4730307.9000000004</v>
      </c>
    </row>
    <row r="116" spans="1:12" x14ac:dyDescent="0.25">
      <c r="A116" s="46" t="str">
        <f>Sheet2!A112</f>
        <v>Central and Eastern Europe</v>
      </c>
      <c r="B116" s="46" t="str">
        <f>Sheet2!C112</f>
        <v>Berlin Airports</v>
      </c>
      <c r="C116" s="46" t="str">
        <f>Sheet2!D112</f>
        <v>Year Ending Dec 2017</v>
      </c>
      <c r="D116" s="46" t="str">
        <f>Sheet2!E112</f>
        <v>EUR</v>
      </c>
      <c r="E116" s="46">
        <f>Sheet2!F112</f>
        <v>1.1998614888000001</v>
      </c>
      <c r="F116" s="35">
        <f>Sheet2!G112</f>
        <v>33526000</v>
      </c>
      <c r="G116" s="12">
        <f>Sheet2!J112</f>
        <v>392420295</v>
      </c>
      <c r="H116" s="21">
        <f>Sheet2!R112</f>
        <v>120906295</v>
      </c>
      <c r="I116" s="21">
        <f>Sheet2!AH112</f>
        <v>431617567.87</v>
      </c>
      <c r="J116" s="12">
        <f>Sheet2!AQ112</f>
        <v>70636245.640000001</v>
      </c>
      <c r="K116" s="12">
        <f>Sheet2!AT112</f>
        <v>-39197272.870000005</v>
      </c>
      <c r="L116" s="21">
        <f>Sheet2!AV112</f>
        <v>-83635144.790000007</v>
      </c>
    </row>
    <row r="117" spans="1:12" x14ac:dyDescent="0.25">
      <c r="A117" s="46" t="str">
        <f>Sheet2!A113</f>
        <v>Central and Eastern Europe</v>
      </c>
      <c r="B117" s="46" t="str">
        <f>Sheet2!C113</f>
        <v>Flughafen Köln/Bonn</v>
      </c>
      <c r="C117" s="46" t="str">
        <f>Sheet2!D113</f>
        <v>Year Ending Dec 2017</v>
      </c>
      <c r="D117" s="46" t="str">
        <f>Sheet2!E113</f>
        <v>EUR</v>
      </c>
      <c r="E117" s="46">
        <f>Sheet2!F113</f>
        <v>1.1998614888000001</v>
      </c>
      <c r="F117" s="35">
        <f>Sheet2!G113</f>
        <v>12384800</v>
      </c>
      <c r="G117" s="12">
        <f>Sheet2!J113</f>
        <v>325456000</v>
      </c>
      <c r="H117" s="21">
        <f>Sheet2!R113</f>
        <v>106000000</v>
      </c>
      <c r="I117" s="21">
        <f>Sheet2!AH113</f>
        <v>344657000</v>
      </c>
      <c r="J117" s="12">
        <f>Sheet2!AQ113</f>
        <v>52435000</v>
      </c>
      <c r="K117" s="12">
        <f>Sheet2!AT113</f>
        <v>16499000</v>
      </c>
      <c r="L117" s="21">
        <f>Sheet2!AV113</f>
        <v>3811078.03</v>
      </c>
    </row>
    <row r="118" spans="1:12" x14ac:dyDescent="0.25">
      <c r="A118" s="46" t="str">
        <f>Sheet2!A114</f>
        <v>Central and Eastern Europe</v>
      </c>
      <c r="B118" s="46" t="str">
        <f>Sheet2!C114</f>
        <v>Flughafen Düsseldorf GmbH </v>
      </c>
      <c r="C118" s="46" t="str">
        <f>Sheet2!D114</f>
        <v>Year Ending Dec 2018</v>
      </c>
      <c r="D118" s="46" t="str">
        <f>Sheet2!E114</f>
        <v>EUR</v>
      </c>
      <c r="E118" s="46">
        <f>Sheet2!F114</f>
        <v>1.1998614888000001</v>
      </c>
      <c r="F118" s="35">
        <f>Sheet2!G114</f>
        <v>24300000</v>
      </c>
      <c r="G118" s="12">
        <f>Sheet2!J114</f>
        <v>474500000</v>
      </c>
      <c r="H118" s="21">
        <f>Sheet2!R114</f>
        <v>0</v>
      </c>
      <c r="I118" s="21">
        <f>Sheet2!AH114</f>
        <v>391739675.20000005</v>
      </c>
      <c r="J118" s="12">
        <f>Sheet2!AQ114</f>
        <v>0</v>
      </c>
      <c r="K118" s="12">
        <f>Sheet2!AT114</f>
        <v>0</v>
      </c>
      <c r="L118" s="21">
        <f>Sheet2!AV114</f>
        <v>59100000</v>
      </c>
    </row>
    <row r="119" spans="1:12" x14ac:dyDescent="0.25">
      <c r="A119" s="46" t="str">
        <f>Sheet2!A115</f>
        <v>Central and Eastern Europe</v>
      </c>
      <c r="B119" s="46" t="str">
        <f>Sheet2!C115</f>
        <v>Fraport AG (Frankfurt Airport)</v>
      </c>
      <c r="C119" s="46" t="str">
        <f>Sheet2!D115</f>
        <v>Year Ending Dec 2018</v>
      </c>
      <c r="D119" s="46" t="str">
        <f>Sheet2!E115</f>
        <v>EUR</v>
      </c>
      <c r="E119" s="46">
        <f>Sheet2!F115</f>
        <v>1.1998614888000001</v>
      </c>
      <c r="F119" s="35">
        <f>Sheet2!G115</f>
        <v>69510269</v>
      </c>
      <c r="G119" s="12">
        <f>Sheet2!J115</f>
        <v>2187399999.9999995</v>
      </c>
      <c r="H119" s="21">
        <f>Sheet2!R115</f>
        <v>1181199999.9999995</v>
      </c>
      <c r="I119" s="21">
        <f>Sheet2!AH115</f>
        <v>559500826.5</v>
      </c>
      <c r="J119" s="12">
        <f>Sheet2!AQ115</f>
        <v>712400000</v>
      </c>
      <c r="K119" s="12">
        <f>Sheet2!AT115</f>
        <v>440900000</v>
      </c>
      <c r="L119" s="21">
        <f>Sheet2!AV115</f>
        <v>0</v>
      </c>
    </row>
    <row r="120" spans="1:12" x14ac:dyDescent="0.25">
      <c r="A120" s="46" t="str">
        <f>Sheet2!A116</f>
        <v>Central and Eastern Europe</v>
      </c>
      <c r="B120" s="46" t="str">
        <f>Sheet2!C116</f>
        <v>Flughafen Hamburg GmbH</v>
      </c>
      <c r="C120" s="46" t="str">
        <f>Sheet2!D116</f>
        <v>Year Ending Dec 2017</v>
      </c>
      <c r="D120" s="46" t="str">
        <f>Sheet2!E116</f>
        <v>EUR</v>
      </c>
      <c r="E120" s="46">
        <f>Sheet2!F116</f>
        <v>1.1998614888000001</v>
      </c>
      <c r="F120" s="35">
        <f>Sheet2!G116</f>
        <v>17620000</v>
      </c>
      <c r="G120" s="12">
        <f>Sheet2!J116</f>
        <v>264495131.66</v>
      </c>
      <c r="H120" s="21">
        <f>Sheet2!R116</f>
        <v>92295131.659999996</v>
      </c>
      <c r="I120" s="21">
        <f>Sheet2!AH116</f>
        <v>167167218.28</v>
      </c>
      <c r="J120" s="12">
        <f>Sheet2!AQ116</f>
        <v>131946226.37</v>
      </c>
      <c r="K120" s="12">
        <f>Sheet2!AT116</f>
        <v>97327913.379999995</v>
      </c>
      <c r="L120" s="21">
        <f>Sheet2!AV116</f>
        <v>46649318.140000001</v>
      </c>
    </row>
    <row r="121" spans="1:12" x14ac:dyDescent="0.25">
      <c r="A121" s="46" t="str">
        <f>Sheet2!A117</f>
        <v>Central and Eastern Europe</v>
      </c>
      <c r="B121" s="46" t="str">
        <f>Sheet2!C117</f>
        <v>Flughafen Hannover-Langenhagen GmbH</v>
      </c>
      <c r="C121" s="46" t="str">
        <f>Sheet2!D117</f>
        <v>Year Ending Dec 2017</v>
      </c>
      <c r="D121" s="46" t="str">
        <f>Sheet2!E117</f>
        <v>EUR</v>
      </c>
      <c r="E121" s="46">
        <f>Sheet2!F117</f>
        <v>1.1998614888000001</v>
      </c>
      <c r="F121" s="35">
        <f>Sheet2!G117</f>
        <v>5870000</v>
      </c>
      <c r="G121" s="12">
        <f>Sheet2!J117</f>
        <v>147552000</v>
      </c>
      <c r="H121" s="21">
        <f>Sheet2!R117</f>
        <v>55000000</v>
      </c>
      <c r="I121" s="21">
        <f>Sheet2!AH117</f>
        <v>143828038.53999999</v>
      </c>
      <c r="J121" s="12">
        <f>Sheet2!AQ117</f>
        <v>20486784.750000007</v>
      </c>
      <c r="K121" s="12">
        <f>Sheet2!AT117</f>
        <v>3723961.4600000083</v>
      </c>
      <c r="L121" s="21">
        <f>Sheet2!AV117</f>
        <v>2321865.5299999998</v>
      </c>
    </row>
    <row r="122" spans="1:12" x14ac:dyDescent="0.25">
      <c r="A122" s="46" t="str">
        <f>Sheet2!A118</f>
        <v>Central and Eastern Europe</v>
      </c>
      <c r="B122" s="46" t="str">
        <f>Sheet2!C118</f>
        <v>Flughafen Munchen GmbH</v>
      </c>
      <c r="C122" s="46" t="str">
        <f>Sheet2!D118</f>
        <v xml:space="preserve"> Year Ending Dec 2018</v>
      </c>
      <c r="D122" s="46" t="str">
        <f>Sheet2!E118</f>
        <v>EUR</v>
      </c>
      <c r="E122" s="46">
        <f>Sheet2!F118</f>
        <v>1.1998614888000001</v>
      </c>
      <c r="F122" s="35">
        <f>Sheet2!G118</f>
        <v>46300000</v>
      </c>
      <c r="G122" s="12">
        <f>Sheet2!J118</f>
        <v>1508817000</v>
      </c>
      <c r="H122" s="21">
        <f>Sheet2!R118</f>
        <v>0</v>
      </c>
      <c r="I122" s="21">
        <f>Sheet2!AH118</f>
        <v>1015633000</v>
      </c>
      <c r="J122" s="12">
        <f>Sheet2!AQ118</f>
        <v>538078000</v>
      </c>
      <c r="K122" s="12">
        <f>Sheet2!AT118</f>
        <v>322216000</v>
      </c>
      <c r="L122" s="21">
        <f>Sheet2!AV118</f>
        <v>148733000</v>
      </c>
    </row>
    <row r="123" spans="1:12" x14ac:dyDescent="0.25">
      <c r="A123" s="46" t="str">
        <f>Sheet2!A119</f>
        <v>Central and Eastern Europe</v>
      </c>
      <c r="B123" s="46" t="str">
        <f>Sheet2!C119</f>
        <v>Letisko M. R. Štefánika - Airport Bratislava</v>
      </c>
      <c r="C123" s="46" t="str">
        <f>Sheet2!D119</f>
        <v>Year Ending Dec 2018</v>
      </c>
      <c r="D123" s="46" t="str">
        <f>Sheet2!E119</f>
        <v>EUR</v>
      </c>
      <c r="E123" s="46">
        <f>Sheet2!F119</f>
        <v>1.1998614888000001</v>
      </c>
      <c r="F123" s="35">
        <f>Sheet2!G119</f>
        <v>2292712</v>
      </c>
      <c r="G123" s="12">
        <f>Sheet2!J119</f>
        <v>32189000</v>
      </c>
      <c r="H123" s="21">
        <f>Sheet2!R119</f>
        <v>21148000</v>
      </c>
      <c r="I123" s="21">
        <f>Sheet2!AH119</f>
        <v>33355000</v>
      </c>
      <c r="J123" s="12">
        <f>Sheet2!AQ119</f>
        <v>10652000</v>
      </c>
      <c r="K123" s="12">
        <f>Sheet2!AT119</f>
        <v>179000</v>
      </c>
      <c r="L123" s="21">
        <f>Sheet2!AV119</f>
        <v>-945000</v>
      </c>
    </row>
    <row r="124" spans="1:12" x14ac:dyDescent="0.25">
      <c r="A124" s="46" t="str">
        <f>Sheet2!A120</f>
        <v>Central and Eastern Europe</v>
      </c>
      <c r="B124" s="46" t="str">
        <f>Sheet2!C120</f>
        <v>Polish Airports State Enterprises</v>
      </c>
      <c r="C124" s="46" t="str">
        <f>Sheet2!D120</f>
        <v>7 months ending July 2017</v>
      </c>
      <c r="D124" s="46" t="str">
        <f>Sheet2!E120</f>
        <v>PLN</v>
      </c>
      <c r="E124" s="46">
        <f>Sheet2!F120</f>
        <v>0.2770519897</v>
      </c>
      <c r="F124" s="35">
        <f>Sheet2!G120</f>
        <v>22160262</v>
      </c>
      <c r="G124" s="12">
        <f>Sheet2!J120</f>
        <v>506700000</v>
      </c>
      <c r="H124" s="21">
        <f>Sheet2!R120</f>
        <v>0</v>
      </c>
      <c r="I124" s="21">
        <f>Sheet2!AH120</f>
        <v>293886000</v>
      </c>
      <c r="J124" s="12">
        <f>Sheet2!AQ120</f>
        <v>295900000</v>
      </c>
      <c r="K124" s="12">
        <f>Sheet2!AT120</f>
        <v>212814000</v>
      </c>
      <c r="L124" s="21">
        <f>Sheet2!AV120</f>
        <v>200000000</v>
      </c>
    </row>
    <row r="125" spans="1:12" x14ac:dyDescent="0.25">
      <c r="A125" s="46" t="str">
        <f>Sheet2!A121</f>
        <v xml:space="preserve">Western Europe </v>
      </c>
      <c r="B125" s="46" t="str">
        <f>Sheet2!C121</f>
        <v>Aeroport de Paris (Paris  Airports)</v>
      </c>
      <c r="C125" s="46" t="str">
        <f>Sheet2!D121</f>
        <v>Year Ending Dec 2018</v>
      </c>
      <c r="D125" s="46" t="str">
        <f>Sheet2!E121</f>
        <v>EUR</v>
      </c>
      <c r="E125" s="46">
        <f>Sheet2!F121</f>
        <v>1.1998614888000001</v>
      </c>
      <c r="F125" s="35">
        <f>Sheet2!G121</f>
        <v>105300000</v>
      </c>
      <c r="G125" s="12">
        <f>Sheet2!J121</f>
        <v>3155000000</v>
      </c>
      <c r="H125" s="21">
        <f>Sheet2!R121</f>
        <v>1000000000</v>
      </c>
      <c r="I125" s="21">
        <f>Sheet2!AH121</f>
        <v>0</v>
      </c>
      <c r="J125" s="12">
        <f>Sheet2!AQ121</f>
        <v>0</v>
      </c>
      <c r="K125" s="12">
        <f>Sheet2!AT121</f>
        <v>0</v>
      </c>
      <c r="L125" s="21">
        <f>Sheet2!AV121</f>
        <v>0</v>
      </c>
    </row>
    <row r="126" spans="1:12" x14ac:dyDescent="0.25">
      <c r="A126" s="46" t="str">
        <f>Sheet2!A122</f>
        <v xml:space="preserve">Western Europe </v>
      </c>
      <c r="B126" s="46" t="str">
        <f>Sheet2!C122</f>
        <v>Aéroport de Bordeaux Mérignac (SA ADBM)</v>
      </c>
      <c r="C126" s="46" t="str">
        <f>Sheet2!D122</f>
        <v>Year Ending Dec 2016</v>
      </c>
      <c r="D126" s="46" t="str">
        <f>Sheet2!E122</f>
        <v>EUR</v>
      </c>
      <c r="E126" s="46">
        <f>Sheet2!F122</f>
        <v>1.1998614888000001</v>
      </c>
      <c r="F126" s="35">
        <f>Sheet2!G122</f>
        <v>5759000</v>
      </c>
      <c r="G126" s="12">
        <f>Sheet2!J122</f>
        <v>67000000</v>
      </c>
      <c r="H126" s="21">
        <f>Sheet2!R122</f>
        <v>0</v>
      </c>
      <c r="I126" s="21">
        <f>Sheet2!AH122</f>
        <v>0</v>
      </c>
      <c r="J126" s="12">
        <f>Sheet2!AQ122</f>
        <v>0</v>
      </c>
      <c r="K126" s="12">
        <f>Sheet2!AT122</f>
        <v>0</v>
      </c>
      <c r="L126" s="21">
        <f>Sheet2!AV122</f>
        <v>0</v>
      </c>
    </row>
    <row r="127" spans="1:12" x14ac:dyDescent="0.25">
      <c r="A127" s="46" t="str">
        <f>Sheet2!A123</f>
        <v xml:space="preserve">Western Europe </v>
      </c>
      <c r="B127" s="46" t="str">
        <f>Sheet2!C123</f>
        <v>Aéroport de la Réunion Roland Garros</v>
      </c>
      <c r="C127" s="46" t="str">
        <f>Sheet2!D123</f>
        <v>Year Ending Dec 2017</v>
      </c>
      <c r="D127" s="46" t="str">
        <f>Sheet2!E123</f>
        <v>EUR</v>
      </c>
      <c r="E127" s="46">
        <f>Sheet2!F123</f>
        <v>1.1998614888000001</v>
      </c>
      <c r="F127" s="35">
        <f>Sheet2!G123</f>
        <v>2293378</v>
      </c>
      <c r="G127" s="12">
        <f>Sheet2!J123</f>
        <v>61868000</v>
      </c>
      <c r="H127" s="21">
        <f>Sheet2!R123</f>
        <v>14528000</v>
      </c>
      <c r="I127" s="21">
        <f>Sheet2!AH123</f>
        <v>39054000</v>
      </c>
      <c r="J127" s="12">
        <f>Sheet2!AQ123</f>
        <v>21000000</v>
      </c>
      <c r="K127" s="12">
        <f>Sheet2!AT123</f>
        <v>9400000</v>
      </c>
      <c r="L127" s="21">
        <f>Sheet2!AV123</f>
        <v>6873000</v>
      </c>
    </row>
    <row r="128" spans="1:12" x14ac:dyDescent="0.25">
      <c r="A128" s="46" t="str">
        <f>Sheet2!A124</f>
        <v xml:space="preserve">Western Europe </v>
      </c>
      <c r="B128" s="46" t="str">
        <f>Sheet2!C124</f>
        <v>Marseille Provence Chamber of Commerce and Industry</v>
      </c>
      <c r="C128" s="46" t="str">
        <f>Sheet2!D124</f>
        <v>Year Ending Dec 2017</v>
      </c>
      <c r="D128" s="46" t="str">
        <f>Sheet2!E124</f>
        <v>EUR</v>
      </c>
      <c r="E128" s="46">
        <f>Sheet2!F124</f>
        <v>1.1998614888000001</v>
      </c>
      <c r="F128" s="35">
        <f>Sheet2!G124</f>
        <v>9002086</v>
      </c>
      <c r="G128" s="12">
        <f>Sheet2!J124</f>
        <v>140300000</v>
      </c>
      <c r="H128" s="21">
        <f>Sheet2!R124</f>
        <v>63300000</v>
      </c>
      <c r="I128" s="21">
        <f>Sheet2!AH124</f>
        <v>0</v>
      </c>
      <c r="J128" s="12">
        <f>Sheet2!AQ124</f>
        <v>0</v>
      </c>
      <c r="K128" s="12">
        <f>Sheet2!AT124</f>
        <v>42700000</v>
      </c>
      <c r="L128" s="21">
        <f>Sheet2!AV124</f>
        <v>0</v>
      </c>
    </row>
    <row r="129" spans="1:12" x14ac:dyDescent="0.25">
      <c r="A129" s="46" t="str">
        <f>Sheet2!A125</f>
        <v xml:space="preserve">Western Europe </v>
      </c>
      <c r="B129" s="46" t="str">
        <f>Sheet2!C125</f>
        <v>Chamber of Commerce and Industry of Toulouse</v>
      </c>
      <c r="C129" s="46" t="str">
        <f>Sheet2!D125</f>
        <v>Year Ending Dec 2017</v>
      </c>
      <c r="D129" s="46" t="str">
        <f>Sheet2!E125</f>
        <v>EUR</v>
      </c>
      <c r="E129" s="46">
        <f>Sheet2!F125</f>
        <v>1.1998614888000001</v>
      </c>
      <c r="F129" s="35">
        <f>Sheet2!G125</f>
        <v>9264611</v>
      </c>
      <c r="G129" s="12">
        <f>Sheet2!J125</f>
        <v>142328000</v>
      </c>
      <c r="H129" s="21">
        <f>Sheet2!R125</f>
        <v>59084000</v>
      </c>
      <c r="I129" s="21">
        <f>Sheet2!AH125</f>
        <v>108314000</v>
      </c>
      <c r="J129" s="12">
        <f>Sheet2!AQ125</f>
        <v>51854000</v>
      </c>
      <c r="K129" s="12">
        <f>Sheet2!AT125</f>
        <v>34253000</v>
      </c>
      <c r="L129" s="21">
        <f>Sheet2!AV125</f>
        <v>20998000</v>
      </c>
    </row>
    <row r="130" spans="1:12" x14ac:dyDescent="0.25">
      <c r="A130" s="46" t="str">
        <f>Sheet2!A126</f>
        <v xml:space="preserve">Western Europe </v>
      </c>
      <c r="B130" s="46" t="str">
        <f>Sheet2!C126</f>
        <v>Chambre de Commerce et d'Industrie (CCI) de l'Oise (Beauvais–Tillé Airport)</v>
      </c>
      <c r="C130" s="46" t="str">
        <f>Sheet2!D126</f>
        <v>Year Ending Dec 2017</v>
      </c>
      <c r="D130" s="46" t="str">
        <f>Sheet2!E126</f>
        <v>EUR</v>
      </c>
      <c r="E130" s="46">
        <f>Sheet2!F126</f>
        <v>1.1998614888000001</v>
      </c>
      <c r="F130" s="35">
        <f>Sheet2!G126</f>
        <v>3997678</v>
      </c>
      <c r="G130" s="12">
        <f>Sheet2!J126</f>
        <v>54171458</v>
      </c>
      <c r="H130" s="21">
        <f>Sheet2!R126</f>
        <v>0</v>
      </c>
      <c r="I130" s="21">
        <f>Sheet2!AH126</f>
        <v>58432490</v>
      </c>
      <c r="J130" s="12">
        <f>Sheet2!AQ126</f>
        <v>0</v>
      </c>
      <c r="K130" s="12">
        <f>Sheet2!AT126</f>
        <v>0</v>
      </c>
      <c r="L130" s="21">
        <f>Sheet2!AV126</f>
        <v>0</v>
      </c>
    </row>
    <row r="131" spans="1:12" x14ac:dyDescent="0.25">
      <c r="A131" s="46" t="str">
        <f>Sheet2!A127</f>
        <v xml:space="preserve">Western Europe </v>
      </c>
      <c r="B131" s="46" t="str">
        <f>Sheet2!C127</f>
        <v>Vinci (Lyon Saint-Exupéry Airport)</v>
      </c>
      <c r="C131" s="46" t="str">
        <f>Sheet2!D127</f>
        <v>Year Ending Dec 2016</v>
      </c>
      <c r="D131" s="46" t="str">
        <f>Sheet2!E127</f>
        <v>EUR</v>
      </c>
      <c r="E131" s="46">
        <f>Sheet2!F127</f>
        <v>1.1998614888000001</v>
      </c>
      <c r="F131" s="35">
        <f>Sheet2!G127</f>
        <v>9500000</v>
      </c>
      <c r="G131" s="12">
        <f>Sheet2!J127</f>
        <v>173000000</v>
      </c>
      <c r="H131" s="21">
        <f>Sheet2!R127</f>
        <v>0</v>
      </c>
      <c r="I131" s="21">
        <f>Sheet2!AH127</f>
        <v>0</v>
      </c>
      <c r="J131" s="12">
        <f>Sheet2!AQ127</f>
        <v>0</v>
      </c>
      <c r="K131" s="12">
        <f>Sheet2!AT127</f>
        <v>0</v>
      </c>
      <c r="L131" s="21">
        <f>Sheet2!AV127</f>
        <v>15200000</v>
      </c>
    </row>
    <row r="132" spans="1:12" x14ac:dyDescent="0.25">
      <c r="A132" s="46" t="str">
        <f>Sheet2!A128</f>
        <v xml:space="preserve">Western Europe </v>
      </c>
      <c r="B132" s="46" t="str">
        <f>Sheet2!C128</f>
        <v>DAA (Dublin and Cork Airports)</v>
      </c>
      <c r="C132" s="46" t="str">
        <f>Sheet2!D128</f>
        <v>Year Ending  Dec 2018</v>
      </c>
      <c r="D132" s="46" t="str">
        <f>Sheet2!E128</f>
        <v>EUR</v>
      </c>
      <c r="E132" s="46">
        <f>Sheet2!F128</f>
        <v>1.1998614888000001</v>
      </c>
      <c r="F132" s="35">
        <f>Sheet2!G128</f>
        <v>33900000</v>
      </c>
      <c r="G132" s="12">
        <f>Sheet2!J128</f>
        <v>640774000</v>
      </c>
      <c r="H132" s="21">
        <f>Sheet2!R128</f>
        <v>0</v>
      </c>
      <c r="I132" s="21">
        <f>Sheet2!AH128</f>
        <v>290000000</v>
      </c>
      <c r="J132" s="12">
        <f>Sheet2!AQ128</f>
        <v>0</v>
      </c>
      <c r="K132" s="12">
        <f>Sheet2!AT128</f>
        <v>0</v>
      </c>
      <c r="L132" s="21">
        <f>Sheet2!AV128</f>
        <v>0</v>
      </c>
    </row>
    <row r="133" spans="1:12" x14ac:dyDescent="0.25">
      <c r="A133" s="46" t="str">
        <f>Sheet2!A129</f>
        <v xml:space="preserve">Western Europe </v>
      </c>
      <c r="B133" s="46" t="str">
        <f>Sheet2!C129</f>
        <v>Aeroporti di Roma</v>
      </c>
      <c r="C133" s="46" t="str">
        <f>Sheet2!D129</f>
        <v>Year Ending Dec 2018</v>
      </c>
      <c r="D133" s="46" t="str">
        <f>Sheet2!E129</f>
        <v>EUR</v>
      </c>
      <c r="E133" s="46">
        <f>Sheet2!F129</f>
        <v>1.1998614888000001</v>
      </c>
      <c r="F133" s="35">
        <f>Sheet2!G129</f>
        <v>48835000</v>
      </c>
      <c r="G133" s="12">
        <f>Sheet2!J129</f>
        <v>921500000</v>
      </c>
      <c r="H133" s="21">
        <f>Sheet2!R129</f>
        <v>254530000</v>
      </c>
      <c r="I133" s="21">
        <f>Sheet2!AH129</f>
        <v>467852000</v>
      </c>
      <c r="J133" s="12">
        <f>Sheet2!AQ129</f>
        <v>577296000</v>
      </c>
      <c r="K133" s="12">
        <f>Sheet2!AT129</f>
        <v>416417000</v>
      </c>
      <c r="L133" s="21">
        <f>Sheet2!AV129</f>
        <v>246240000</v>
      </c>
    </row>
    <row r="134" spans="1:12" x14ac:dyDescent="0.25">
      <c r="A134" s="46" t="str">
        <f>Sheet2!A130</f>
        <v xml:space="preserve">Western Europe </v>
      </c>
      <c r="B134" s="46" t="str">
        <f>Sheet2!C130</f>
        <v>Aeroporti di Milan</v>
      </c>
      <c r="C134" s="46" t="str">
        <f>Sheet2!D130</f>
        <v>Year Ending Dec 2018</v>
      </c>
      <c r="D134" s="46" t="str">
        <f>Sheet2!E130</f>
        <v>EUR</v>
      </c>
      <c r="E134" s="46">
        <f>Sheet2!F130</f>
        <v>1.1998614888000001</v>
      </c>
      <c r="F134" s="35">
        <f>Sheet2!G130</f>
        <v>33748800</v>
      </c>
      <c r="G134" s="12">
        <f>Sheet2!J130</f>
        <v>713145000</v>
      </c>
      <c r="H134" s="21">
        <f>Sheet2!R130</f>
        <v>242399000</v>
      </c>
      <c r="I134" s="21">
        <f>Sheet2!AH130</f>
        <v>404566000</v>
      </c>
      <c r="J134" s="12">
        <f>Sheet2!AQ130</f>
        <v>281851000</v>
      </c>
      <c r="K134" s="12">
        <f>Sheet2!AT130</f>
        <v>189469000</v>
      </c>
      <c r="L134" s="21">
        <f>Sheet2!AV130</f>
        <v>136076000</v>
      </c>
    </row>
    <row r="135" spans="1:12" x14ac:dyDescent="0.25">
      <c r="A135" s="46" t="str">
        <f>Sheet2!A131</f>
        <v xml:space="preserve">Western Europe </v>
      </c>
      <c r="B135" s="46" t="str">
        <f>Sheet2!C131</f>
        <v>GE.S.A.C. S.p.A. (Aeroporti di Napoli)</v>
      </c>
      <c r="C135" s="46" t="str">
        <f>Sheet2!D131</f>
        <v>Year Ending Dec 2018</v>
      </c>
      <c r="D135" s="46" t="str">
        <f>Sheet2!E131</f>
        <v>EUR</v>
      </c>
      <c r="E135" s="46">
        <f>Sheet2!F131</f>
        <v>1.1998614888000001</v>
      </c>
      <c r="F135" s="35">
        <f>Sheet2!G131</f>
        <v>8577507</v>
      </c>
      <c r="G135" s="12">
        <f>Sheet2!J131</f>
        <v>133866000</v>
      </c>
      <c r="H135" s="21">
        <f>Sheet2!R131</f>
        <v>34235000</v>
      </c>
      <c r="I135" s="21">
        <f>Sheet2!AH131</f>
        <v>80771000</v>
      </c>
      <c r="J135" s="12">
        <f>Sheet2!AQ131</f>
        <v>52552000</v>
      </c>
      <c r="K135" s="12">
        <f>Sheet2!AT131</f>
        <v>32459000</v>
      </c>
      <c r="L135" s="21">
        <f>Sheet2!AV131</f>
        <v>20462000</v>
      </c>
    </row>
    <row r="136" spans="1:12" x14ac:dyDescent="0.25">
      <c r="A136" s="46" t="str">
        <f>Sheet2!A132</f>
        <v xml:space="preserve">Western Europe </v>
      </c>
      <c r="B136" s="46" t="str">
        <f>Sheet2!C132</f>
        <v>Aeroporti Toscana</v>
      </c>
      <c r="C136" s="46" t="str">
        <f>Sheet2!D132</f>
        <v>Year Ending Dec 2017</v>
      </c>
      <c r="D136" s="46" t="str">
        <f>Sheet2!E132</f>
        <v>EUR</v>
      </c>
      <c r="E136" s="46">
        <f>Sheet2!F132</f>
        <v>1.1998614888000001</v>
      </c>
      <c r="F136" s="35">
        <f>Sheet2!G132</f>
        <v>7891167</v>
      </c>
      <c r="G136" s="12">
        <f>Sheet2!J132</f>
        <v>136151000</v>
      </c>
      <c r="H136" s="21">
        <f>Sheet2!R132</f>
        <v>28070000</v>
      </c>
      <c r="I136" s="21">
        <f>Sheet2!AH132</f>
        <v>105464000</v>
      </c>
      <c r="J136" s="12">
        <f>Sheet2!AQ132</f>
        <v>30173000</v>
      </c>
      <c r="K136" s="12">
        <f>Sheet2!AT132</f>
        <v>19628000</v>
      </c>
      <c r="L136" s="21">
        <f>Sheet2!AV132</f>
        <v>10550000</v>
      </c>
    </row>
    <row r="137" spans="1:12" x14ac:dyDescent="0.25">
      <c r="A137" s="46" t="str">
        <f>Sheet2!A133</f>
        <v xml:space="preserve">Western Europe </v>
      </c>
      <c r="B137" s="46" t="str">
        <f>Sheet2!C133</f>
        <v>Grupo Save</v>
      </c>
      <c r="C137" s="46" t="str">
        <f>Sheet2!D133</f>
        <v>Year Ending Dec 2017</v>
      </c>
      <c r="D137" s="46" t="str">
        <f>Sheet2!E133</f>
        <v>EUR</v>
      </c>
      <c r="E137" s="46">
        <f>Sheet2!F133</f>
        <v>1.1998614888000001</v>
      </c>
      <c r="F137" s="35">
        <f>Sheet2!G133</f>
        <v>13366406</v>
      </c>
      <c r="G137" s="12">
        <f>Sheet2!J133</f>
        <v>199000000</v>
      </c>
      <c r="H137" s="21">
        <f>Sheet2!R133</f>
        <v>40455000</v>
      </c>
      <c r="I137" s="21">
        <f>Sheet2!AH133</f>
        <v>135061000</v>
      </c>
      <c r="J137" s="12">
        <f>Sheet2!AQ133</f>
        <v>94500000</v>
      </c>
      <c r="K137" s="12">
        <f>Sheet2!AT133</f>
        <v>64046000</v>
      </c>
      <c r="L137" s="21">
        <f>Sheet2!AV133</f>
        <v>50100000</v>
      </c>
    </row>
    <row r="138" spans="1:12" x14ac:dyDescent="0.25">
      <c r="A138" s="46" t="str">
        <f>Sheet2!A134</f>
        <v xml:space="preserve">Western Europe </v>
      </c>
      <c r="B138" s="46" t="str">
        <f>Sheet2!C134</f>
        <v>Aeroporti Bologna</v>
      </c>
      <c r="C138" s="46" t="str">
        <f>Sheet2!D134</f>
        <v>Year Ending Dec 2018</v>
      </c>
      <c r="D138" s="46" t="str">
        <f>Sheet2!E134</f>
        <v>EUR</v>
      </c>
      <c r="E138" s="46">
        <f>Sheet2!F134</f>
        <v>1.1998614888000001</v>
      </c>
      <c r="F138" s="35">
        <f>Sheet2!G134</f>
        <v>8506658</v>
      </c>
      <c r="G138" s="12">
        <f>Sheet2!J134</f>
        <v>114092000</v>
      </c>
      <c r="H138" s="21">
        <f>Sheet2!R134</f>
        <v>43554000</v>
      </c>
      <c r="I138" s="21">
        <f>Sheet2!AH134</f>
        <v>88880000</v>
      </c>
      <c r="J138" s="12">
        <f>Sheet2!AQ134</f>
        <v>38718000</v>
      </c>
      <c r="K138" s="12">
        <f>Sheet2!AT134</f>
        <v>24976000</v>
      </c>
      <c r="L138" s="21">
        <f>Sheet2!AV134</f>
        <v>17927000</v>
      </c>
    </row>
    <row r="139" spans="1:12" x14ac:dyDescent="0.25">
      <c r="A139" s="46" t="str">
        <f>Sheet2!A135</f>
        <v xml:space="preserve">Western Europe </v>
      </c>
      <c r="B139" s="46" t="str">
        <f>Sheet2!C135</f>
        <v>Aberdeen Airport Ltd</v>
      </c>
      <c r="C139" s="46" t="str">
        <f>Sheet2!D135</f>
        <v>Year Ending Dec 2015</v>
      </c>
      <c r="D139" s="46" t="str">
        <f>Sheet2!E135</f>
        <v>GBP</v>
      </c>
      <c r="E139" s="46">
        <f>Sheet2!F135</f>
        <v>1.4763372618999999</v>
      </c>
      <c r="F139" s="35">
        <f>Sheet2!G135</f>
        <v>3502000</v>
      </c>
      <c r="G139" s="12">
        <f>Sheet2!J135</f>
        <v>63417000</v>
      </c>
      <c r="H139" s="21">
        <f>Sheet2!R135</f>
        <v>28010000</v>
      </c>
      <c r="I139" s="21">
        <f>Sheet2!AH135</f>
        <v>44344000</v>
      </c>
      <c r="J139" s="12">
        <f>Sheet2!AQ135</f>
        <v>24956000</v>
      </c>
      <c r="K139" s="12">
        <f>Sheet2!AT135</f>
        <v>28879000</v>
      </c>
      <c r="L139" s="21">
        <f>Sheet2!AV135</f>
        <v>25215000</v>
      </c>
    </row>
    <row r="140" spans="1:12" x14ac:dyDescent="0.25">
      <c r="A140" s="46" t="str">
        <f>Sheet2!A136</f>
        <v xml:space="preserve">Western Europe </v>
      </c>
      <c r="B140" s="46" t="str">
        <f>Sheet2!C136</f>
        <v>Birmingham Airport Ltd</v>
      </c>
      <c r="C140" s="46" t="str">
        <f>Sheet2!D136</f>
        <v>Year Ending March 2018</v>
      </c>
      <c r="D140" s="46" t="str">
        <f>Sheet2!E136</f>
        <v>GBP</v>
      </c>
      <c r="E140" s="46">
        <f>Sheet2!F136</f>
        <v>1.4011402388</v>
      </c>
      <c r="F140" s="35">
        <f>Sheet2!G136</f>
        <v>12884052</v>
      </c>
      <c r="G140" s="12">
        <f>Sheet2!J136</f>
        <v>155495000</v>
      </c>
      <c r="H140" s="21">
        <f>Sheet2!R136</f>
        <v>91303000</v>
      </c>
      <c r="I140" s="21">
        <f>Sheet2!AH136</f>
        <v>129094000</v>
      </c>
      <c r="J140" s="12">
        <f>Sheet2!AQ136</f>
        <v>75100000</v>
      </c>
      <c r="K140" s="12">
        <f>Sheet2!AT136</f>
        <v>50518000</v>
      </c>
      <c r="L140" s="21">
        <f>Sheet2!AV136</f>
        <v>26401000</v>
      </c>
    </row>
    <row r="141" spans="1:12" x14ac:dyDescent="0.25">
      <c r="A141" s="46" t="str">
        <f>Sheet2!A137</f>
        <v xml:space="preserve">Western Europe </v>
      </c>
      <c r="B141" s="46" t="str">
        <f>Sheet2!C137</f>
        <v>Bristol Airport Ltd</v>
      </c>
      <c r="C141" s="46" t="str">
        <f>Sheet2!D137</f>
        <v>Year Ending March 2016</v>
      </c>
      <c r="D141" s="46" t="str">
        <f>Sheet2!E137</f>
        <v>GBP</v>
      </c>
      <c r="E141" s="46">
        <f>Sheet2!F137</f>
        <v>1.4380336429</v>
      </c>
      <c r="F141" s="35">
        <f>Sheet2!G137</f>
        <v>7531000</v>
      </c>
      <c r="G141" s="12">
        <f>Sheet2!J137</f>
        <v>89908000</v>
      </c>
      <c r="H141" s="21">
        <f>Sheet2!R137</f>
        <v>55548000</v>
      </c>
      <c r="I141" s="21">
        <f>Sheet2!AH137</f>
        <v>73467000</v>
      </c>
      <c r="J141" s="12">
        <f>Sheet2!AQ137</f>
        <v>49102120</v>
      </c>
      <c r="K141" s="12">
        <f>Sheet2!AT137</f>
        <v>16344000</v>
      </c>
      <c r="L141" s="21">
        <f>Sheet2!AV137</f>
        <v>-26830000</v>
      </c>
    </row>
    <row r="142" spans="1:12" x14ac:dyDescent="0.25">
      <c r="A142" s="46" t="str">
        <f>Sheet2!A138</f>
        <v xml:space="preserve">Western Europe </v>
      </c>
      <c r="B142" s="46" t="str">
        <f>Sheet2!C138</f>
        <v>Cardiff Airport Ltd</v>
      </c>
      <c r="C142" s="46" t="str">
        <f>Sheet2!D138</f>
        <v>Year Ending March 2018</v>
      </c>
      <c r="D142" s="46" t="str">
        <f>Sheet2!E138</f>
        <v>GBP</v>
      </c>
      <c r="E142" s="46">
        <f>Sheet2!F138</f>
        <v>1.4011402388</v>
      </c>
      <c r="F142" s="35">
        <f>Sheet2!G138</f>
        <v>1465227</v>
      </c>
      <c r="G142" s="12">
        <f>Sheet2!J138</f>
        <v>17900000</v>
      </c>
      <c r="H142" s="21">
        <f>Sheet2!R138</f>
        <v>8300000</v>
      </c>
      <c r="I142" s="21">
        <f>Sheet2!AH138</f>
        <v>0</v>
      </c>
      <c r="J142" s="12">
        <f>Sheet2!AQ138</f>
        <v>7000</v>
      </c>
      <c r="K142" s="12">
        <f>Sheet2!AT138</f>
        <v>0</v>
      </c>
      <c r="L142" s="21">
        <f>Sheet2!AV138</f>
        <v>0</v>
      </c>
    </row>
    <row r="143" spans="1:12" x14ac:dyDescent="0.25">
      <c r="A143" s="46" t="str">
        <f>Sheet2!A139</f>
        <v xml:space="preserve">Western Europe </v>
      </c>
      <c r="B143" s="46" t="str">
        <f>Sheet2!C139</f>
        <v>Cornwall Airport Ltd</v>
      </c>
      <c r="C143" s="46" t="str">
        <f>Sheet2!D139</f>
        <v>Year Ending March 2016</v>
      </c>
      <c r="D143" s="46" t="str">
        <f>Sheet2!E139</f>
        <v>GBP</v>
      </c>
      <c r="E143" s="46">
        <f>Sheet2!F139</f>
        <v>1.4380336429</v>
      </c>
      <c r="F143" s="35">
        <f>Sheet2!G139</f>
        <v>255058</v>
      </c>
      <c r="G143" s="12">
        <f>Sheet2!J139</f>
        <v>9460515</v>
      </c>
      <c r="H143" s="21">
        <f>Sheet2!R139</f>
        <v>0</v>
      </c>
      <c r="I143" s="21">
        <f>Sheet2!AH139</f>
        <v>0</v>
      </c>
      <c r="J143" s="12">
        <f>Sheet2!AQ139</f>
        <v>0</v>
      </c>
      <c r="K143" s="12">
        <f>Sheet2!AT139</f>
        <v>0</v>
      </c>
      <c r="L143" s="21">
        <f>Sheet2!AV139</f>
        <v>14990000</v>
      </c>
    </row>
    <row r="144" spans="1:12" x14ac:dyDescent="0.25">
      <c r="A144" s="46" t="str">
        <f>Sheet2!A140</f>
        <v xml:space="preserve">Western Europe </v>
      </c>
      <c r="B144" s="46" t="str">
        <f>Sheet2!C140</f>
        <v>Edinburgh Airport Ltd</v>
      </c>
      <c r="C144" s="46" t="str">
        <f>Sheet2!D140</f>
        <v>Year Ending Dec 2018</v>
      </c>
      <c r="D144" s="46" t="str">
        <f>Sheet2!E140</f>
        <v>GBP</v>
      </c>
      <c r="E144" s="46">
        <f>Sheet2!F140</f>
        <v>1.2534095315</v>
      </c>
      <c r="F144" s="35">
        <f>Sheet2!G140</f>
        <v>14300000</v>
      </c>
      <c r="G144" s="12">
        <f>Sheet2!J140</f>
        <v>203912000</v>
      </c>
      <c r="H144" s="21">
        <f>Sheet2!R140</f>
        <v>0</v>
      </c>
      <c r="I144" s="21">
        <f>Sheet2!AH140</f>
        <v>108254000</v>
      </c>
      <c r="J144" s="12">
        <f>Sheet2!AQ140</f>
        <v>0</v>
      </c>
      <c r="K144" s="12">
        <f>Sheet2!AT140</f>
        <v>95700000</v>
      </c>
      <c r="L144" s="21">
        <f>Sheet2!AV140</f>
        <v>68010000</v>
      </c>
    </row>
    <row r="145" spans="1:12" x14ac:dyDescent="0.25">
      <c r="A145" s="46" t="str">
        <f>Sheet2!A141</f>
        <v xml:space="preserve">Western Europe </v>
      </c>
      <c r="B145" s="46" t="str">
        <f>Sheet2!C141</f>
        <v>Glasgow Prestwick</v>
      </c>
      <c r="C145" s="46" t="str">
        <f>Sheet2!D141</f>
        <v>Year Ending March 2017</v>
      </c>
      <c r="D145" s="46" t="str">
        <f>Sheet2!E141</f>
        <v>GBP</v>
      </c>
      <c r="E145" s="46">
        <f>Sheet2!F141</f>
        <v>1.2534095315</v>
      </c>
      <c r="F145" s="35">
        <f>Sheet2!G141</f>
        <v>702000</v>
      </c>
      <c r="G145" s="12">
        <f>Sheet2!J141</f>
        <v>18200000</v>
      </c>
      <c r="H145" s="21">
        <f>Sheet2!R141</f>
        <v>0</v>
      </c>
      <c r="I145" s="21">
        <f>Sheet2!AH141</f>
        <v>24746000</v>
      </c>
      <c r="J145" s="12">
        <f>Sheet2!AQ141</f>
        <v>0</v>
      </c>
      <c r="K145" s="12">
        <f>Sheet2!AT141</f>
        <v>-6546000</v>
      </c>
      <c r="L145" s="21">
        <f>Sheet2!AV141</f>
        <v>-8612000</v>
      </c>
    </row>
    <row r="146" spans="1:12" x14ac:dyDescent="0.25">
      <c r="A146" s="46" t="str">
        <f>Sheet2!A142</f>
        <v xml:space="preserve">Western Europe </v>
      </c>
      <c r="B146" s="46" t="str">
        <f>Sheet2!C142</f>
        <v>Guernsey Airport</v>
      </c>
      <c r="C146" s="46" t="str">
        <f>Sheet2!D142</f>
        <v>Year Ending Dec 2017</v>
      </c>
      <c r="D146" s="46" t="str">
        <f>Sheet2!E142</f>
        <v>GBP</v>
      </c>
      <c r="E146" s="46">
        <f>Sheet2!F142</f>
        <v>1.3502911431</v>
      </c>
      <c r="F146" s="35">
        <f>Sheet2!G142</f>
        <v>813595</v>
      </c>
      <c r="G146" s="12">
        <f>Sheet2!J142</f>
        <v>12300000</v>
      </c>
      <c r="H146" s="21">
        <f>Sheet2!R142</f>
        <v>3198000</v>
      </c>
      <c r="I146" s="21">
        <f>Sheet2!AH142</f>
        <v>0</v>
      </c>
      <c r="J146" s="12">
        <f>Sheet2!AQ142</f>
        <v>600000</v>
      </c>
      <c r="K146" s="12">
        <f>Sheet2!AT142</f>
        <v>0</v>
      </c>
      <c r="L146" s="21">
        <f>Sheet2!AV142</f>
        <v>0</v>
      </c>
    </row>
    <row r="147" spans="1:12" x14ac:dyDescent="0.25">
      <c r="A147" s="46" t="str">
        <f>Sheet2!A143</f>
        <v xml:space="preserve">Western Europe </v>
      </c>
      <c r="B147" s="46" t="str">
        <f>Sheet2!C143</f>
        <v>Highland and Islands Airports Limited</v>
      </c>
      <c r="C147" s="46" t="str">
        <f>Sheet2!D143</f>
        <v>Year Ending March 2018</v>
      </c>
      <c r="D147" s="46" t="str">
        <f>Sheet2!E143</f>
        <v>GBP</v>
      </c>
      <c r="E147" s="46">
        <f>Sheet2!F143</f>
        <v>1.4011402388</v>
      </c>
      <c r="F147" s="35">
        <f>Sheet2!G143</f>
        <v>1780521</v>
      </c>
      <c r="G147" s="12">
        <f>Sheet2!J143</f>
        <v>24895000</v>
      </c>
      <c r="H147" s="21">
        <f>Sheet2!R143</f>
        <v>5251000</v>
      </c>
      <c r="I147" s="21">
        <f>Sheet2!AH143</f>
        <v>47468000</v>
      </c>
      <c r="J147" s="12">
        <f>Sheet2!AQ143</f>
        <v>0</v>
      </c>
      <c r="K147" s="12">
        <f>Sheet2!AT143</f>
        <v>-2205000</v>
      </c>
      <c r="L147" s="21">
        <f>Sheet2!AV143</f>
        <v>3347000</v>
      </c>
    </row>
    <row r="148" spans="1:12" x14ac:dyDescent="0.25">
      <c r="A148" s="46" t="str">
        <f>Sheet2!A144</f>
        <v xml:space="preserve">Western Europe </v>
      </c>
      <c r="B148" s="46" t="str">
        <f>Sheet2!C144</f>
        <v>Peel (Liverpool Airport)</v>
      </c>
      <c r="C148" s="46" t="str">
        <f>Sheet2!D144</f>
        <v>Year Ending March 2017</v>
      </c>
      <c r="D148" s="46" t="str">
        <f>Sheet2!E144</f>
        <v>GBP</v>
      </c>
      <c r="E148" s="46">
        <f>Sheet2!F144</f>
        <v>1.2534095315</v>
      </c>
      <c r="F148" s="35">
        <f>Sheet2!G144</f>
        <v>4800000</v>
      </c>
      <c r="G148" s="12">
        <f>Sheet2!J144</f>
        <v>30300000</v>
      </c>
      <c r="H148" s="21">
        <f>Sheet2!R144</f>
        <v>0</v>
      </c>
      <c r="I148" s="21">
        <f>Sheet2!AH144</f>
        <v>0</v>
      </c>
      <c r="J148" s="12">
        <f>Sheet2!AQ144</f>
        <v>0</v>
      </c>
      <c r="K148" s="12">
        <f>Sheet2!AT144</f>
        <v>2600000</v>
      </c>
      <c r="L148" s="21">
        <f>Sheet2!AV144</f>
        <v>0</v>
      </c>
    </row>
    <row r="149" spans="1:12" x14ac:dyDescent="0.25">
      <c r="A149" s="46" t="str">
        <f>Sheet2!A145</f>
        <v xml:space="preserve">Western Europe </v>
      </c>
      <c r="B149" s="46" t="str">
        <f>Sheet2!C145</f>
        <v>London City Airport</v>
      </c>
      <c r="C149" s="46" t="str">
        <f>Sheet2!D145</f>
        <v>Year Ending Dec 2017</v>
      </c>
      <c r="D149" s="46" t="str">
        <f>Sheet2!E145</f>
        <v>GBP</v>
      </c>
      <c r="E149" s="46">
        <f>Sheet2!F145</f>
        <v>1.3502911431</v>
      </c>
      <c r="F149" s="35">
        <f>Sheet2!G145</f>
        <v>4500000</v>
      </c>
      <c r="G149" s="12">
        <f>Sheet2!J145</f>
        <v>112000000</v>
      </c>
      <c r="H149" s="21">
        <f>Sheet2!R145</f>
        <v>0</v>
      </c>
      <c r="I149" s="21">
        <f>Sheet2!AH145</f>
        <v>0</v>
      </c>
      <c r="J149" s="12">
        <f>Sheet2!AQ145</f>
        <v>0</v>
      </c>
      <c r="K149" s="12">
        <f>Sheet2!AT145</f>
        <v>0</v>
      </c>
      <c r="L149" s="21">
        <f>Sheet2!AV145</f>
        <v>28500000</v>
      </c>
    </row>
    <row r="150" spans="1:12" x14ac:dyDescent="0.25">
      <c r="A150" s="46" t="str">
        <f>Sheet2!A146</f>
        <v xml:space="preserve">Western Europe </v>
      </c>
      <c r="B150" s="46" t="str">
        <f>Sheet2!C146</f>
        <v>Gatwick  Airport Limited</v>
      </c>
      <c r="C150" s="46" t="str">
        <f>Sheet2!D146</f>
        <v>Year Ending March 2019</v>
      </c>
      <c r="D150" s="46" t="str">
        <f>Sheet2!E146</f>
        <v>GBP</v>
      </c>
      <c r="E150" s="46">
        <f>Sheet2!F146</f>
        <v>1.4011402388</v>
      </c>
      <c r="F150" s="35">
        <f>Sheet2!G146</f>
        <v>46442154</v>
      </c>
      <c r="G150" s="12">
        <f>Sheet2!J146</f>
        <v>810800000</v>
      </c>
      <c r="H150" s="21">
        <f>Sheet2!R146</f>
        <v>383000000</v>
      </c>
      <c r="I150" s="21">
        <f>Sheet2!AH146</f>
        <v>539400000</v>
      </c>
      <c r="J150" s="12">
        <f>Sheet2!AQ146</f>
        <v>441400000</v>
      </c>
      <c r="K150" s="12">
        <f>Sheet2!AT146</f>
        <v>271400000</v>
      </c>
      <c r="L150" s="21">
        <f>Sheet2!AV146</f>
        <v>196800000</v>
      </c>
    </row>
    <row r="151" spans="1:12" x14ac:dyDescent="0.25">
      <c r="A151" s="46" t="str">
        <f>Sheet2!A147</f>
        <v xml:space="preserve">Western Europe </v>
      </c>
      <c r="B151" s="46" t="str">
        <f>Sheet2!C147</f>
        <v>Heathrow Airport Holdings Ltd</v>
      </c>
      <c r="C151" s="46" t="str">
        <f>Sheet2!D147</f>
        <v>Year Ending Dec 2018</v>
      </c>
      <c r="D151" s="46" t="str">
        <f>Sheet2!E147</f>
        <v>GBP</v>
      </c>
      <c r="E151" s="46">
        <f>Sheet2!F147</f>
        <v>1.3502911431</v>
      </c>
      <c r="F151" s="35">
        <f>Sheet2!G147</f>
        <v>80100000</v>
      </c>
      <c r="G151" s="12">
        <f>Sheet2!J147</f>
        <v>2970000000</v>
      </c>
      <c r="H151" s="21">
        <f>Sheet2!R147</f>
        <v>1225000000</v>
      </c>
      <c r="I151" s="21">
        <f>Sheet2!AH147</f>
        <v>1882000000</v>
      </c>
      <c r="J151" s="12">
        <f>Sheet2!AQ147</f>
        <v>1840000000</v>
      </c>
      <c r="K151" s="12">
        <f>Sheet2!AT147</f>
        <v>1088000000</v>
      </c>
      <c r="L151" s="21">
        <f>Sheet2!AV147</f>
        <v>562000000</v>
      </c>
    </row>
    <row r="152" spans="1:12" x14ac:dyDescent="0.25">
      <c r="A152" s="46" t="str">
        <f>Sheet2!A148</f>
        <v xml:space="preserve">Western Europe </v>
      </c>
      <c r="B152" s="46" t="str">
        <f>Sheet2!C148</f>
        <v>London Luton Airport Operations Ltd</v>
      </c>
      <c r="C152" s="46" t="str">
        <f>Sheet2!D148</f>
        <v>Year  Ending Dec 2018</v>
      </c>
      <c r="D152" s="46" t="str">
        <f>Sheet2!E148</f>
        <v>GBP</v>
      </c>
      <c r="E152" s="46">
        <f>Sheet2!F148</f>
        <v>1.3502911431</v>
      </c>
      <c r="F152" s="35">
        <f>Sheet2!G148</f>
        <v>16600000</v>
      </c>
      <c r="G152" s="12">
        <f>Sheet2!J148</f>
        <v>201315000</v>
      </c>
      <c r="H152" s="21">
        <f>Sheet2!R148</f>
        <v>111424000</v>
      </c>
      <c r="I152" s="21">
        <f>Sheet2!AH148</f>
        <v>151460000</v>
      </c>
      <c r="J152" s="12">
        <f>Sheet2!AQ148</f>
        <v>74416000</v>
      </c>
      <c r="K152" s="12">
        <f>Sheet2!AT148</f>
        <v>49855000</v>
      </c>
      <c r="L152" s="21">
        <f>Sheet2!AV148</f>
        <v>38805000</v>
      </c>
    </row>
    <row r="153" spans="1:12" x14ac:dyDescent="0.25">
      <c r="A153" s="46" t="str">
        <f>Sheet2!A150</f>
        <v xml:space="preserve">Western Europe </v>
      </c>
      <c r="B153" s="46" t="str">
        <f>Sheet2!C150</f>
        <v>Manchester Airport Group (Manchester Airport)</v>
      </c>
      <c r="C153" s="46" t="str">
        <f>Sheet2!D150</f>
        <v>Year Ending March 2019</v>
      </c>
      <c r="D153" s="46" t="str">
        <f>Sheet2!E150</f>
        <v>GBP</v>
      </c>
      <c r="E153" s="46">
        <f>Sheet2!F150</f>
        <v>1.4011402388</v>
      </c>
      <c r="F153" s="35">
        <f>Sheet2!G150</f>
        <v>28600000</v>
      </c>
      <c r="G153" s="12">
        <f>Sheet2!J150</f>
        <v>452700000</v>
      </c>
      <c r="H153" s="21">
        <f>Sheet2!R150</f>
        <v>278240000</v>
      </c>
      <c r="I153" s="21">
        <f>Sheet2!AH150</f>
        <v>314600000</v>
      </c>
      <c r="J153" s="12">
        <f>Sheet2!AQ150</f>
        <v>188500000</v>
      </c>
      <c r="K153" s="12">
        <f>Sheet2!AT150</f>
        <v>0</v>
      </c>
      <c r="L153" s="21">
        <f>Sheet2!AV150</f>
        <v>0</v>
      </c>
    </row>
    <row r="154" spans="1:12" x14ac:dyDescent="0.25">
      <c r="A154" s="46" t="str">
        <f>Sheet2!A151</f>
        <v xml:space="preserve">Western Europe </v>
      </c>
      <c r="B154" s="46" t="str">
        <f>Sheet2!C151</f>
        <v>Manchester Airport Group (London Stansted Airport)</v>
      </c>
      <c r="C154" s="46" t="str">
        <f>Sheet2!D151</f>
        <v>Year Ending March 2019</v>
      </c>
      <c r="D154" s="46" t="str">
        <f>Sheet2!E151</f>
        <v>GBP</v>
      </c>
      <c r="E154" s="46">
        <f>Sheet2!F151</f>
        <v>1.4011402388</v>
      </c>
      <c r="F154" s="35">
        <f>Sheet2!G151</f>
        <v>28400000</v>
      </c>
      <c r="G154" s="12">
        <f>Sheet2!J151</f>
        <v>359300000</v>
      </c>
      <c r="H154" s="21">
        <f>Sheet2!R151</f>
        <v>203100000</v>
      </c>
      <c r="I154" s="21">
        <f>Sheet2!AH151</f>
        <v>255600000</v>
      </c>
      <c r="J154" s="12">
        <f>Sheet2!AQ151</f>
        <v>166400000</v>
      </c>
      <c r="K154" s="12">
        <f>Sheet2!AT151</f>
        <v>0</v>
      </c>
      <c r="L154" s="21">
        <f>Sheet2!AV151</f>
        <v>0</v>
      </c>
    </row>
    <row r="155" spans="1:12" x14ac:dyDescent="0.25">
      <c r="A155" s="46" t="str">
        <f>Sheet2!A152</f>
        <v xml:space="preserve">Western Europe </v>
      </c>
      <c r="B155" s="46" t="str">
        <f>Sheet2!C152</f>
        <v>Manchester Airport Group (East Midlands Airport)</v>
      </c>
      <c r="C155" s="46" t="str">
        <f>Sheet2!D152</f>
        <v>Year Ending March 2019</v>
      </c>
      <c r="D155" s="46" t="str">
        <f>Sheet2!E152</f>
        <v>GBP</v>
      </c>
      <c r="E155" s="46">
        <f>Sheet2!F152</f>
        <v>1.4011402388</v>
      </c>
      <c r="F155" s="35">
        <f>Sheet2!G152</f>
        <v>4900000</v>
      </c>
      <c r="G155" s="12">
        <f>Sheet2!J152</f>
        <v>68900000</v>
      </c>
      <c r="H155" s="21">
        <f>Sheet2!R152</f>
        <v>43910000</v>
      </c>
      <c r="I155" s="21">
        <f>Sheet2!AH152</f>
        <v>57820000</v>
      </c>
      <c r="J155" s="12">
        <f>Sheet2!AQ152</f>
        <v>23400000</v>
      </c>
      <c r="K155" s="12">
        <f>Sheet2!AT152</f>
        <v>0</v>
      </c>
      <c r="L155" s="21">
        <f>Sheet2!AV152</f>
        <v>0</v>
      </c>
    </row>
    <row r="156" spans="1:12" x14ac:dyDescent="0.25">
      <c r="A156" s="46" t="str">
        <f>Sheet2!A153</f>
        <v xml:space="preserve">Western Europe </v>
      </c>
      <c r="B156" s="46" t="str">
        <f>Sheet2!C153</f>
        <v>Stobart Group (London Southend Airport)</v>
      </c>
      <c r="C156" s="46" t="str">
        <f>Sheet2!D153</f>
        <v>Year Ending March 2019</v>
      </c>
      <c r="D156" s="46" t="str">
        <f>Sheet2!E153</f>
        <v>GBP</v>
      </c>
      <c r="E156" s="46">
        <f>Sheet2!F153</f>
        <v>1.2332099999999999</v>
      </c>
      <c r="F156" s="35">
        <f>Sheet2!G153</f>
        <v>1500000</v>
      </c>
      <c r="G156" s="12">
        <f>Sheet2!J153</f>
        <v>39400000</v>
      </c>
      <c r="H156" s="21">
        <f>Sheet2!R153</f>
        <v>0</v>
      </c>
      <c r="I156" s="21">
        <f>Sheet2!AH153</f>
        <v>0</v>
      </c>
      <c r="J156" s="12">
        <f>Sheet2!AQ153</f>
        <v>4900000</v>
      </c>
      <c r="K156" s="12">
        <f>Sheet2!AT153</f>
        <v>0</v>
      </c>
      <c r="L156" s="21">
        <f>Sheet2!AV153</f>
        <v>0</v>
      </c>
    </row>
    <row r="157" spans="1:12" x14ac:dyDescent="0.25">
      <c r="A157" s="46" t="str">
        <f>Sheet2!A154</f>
        <v xml:space="preserve">Western Europe </v>
      </c>
      <c r="B157" s="46" t="str">
        <f>Sheet2!C154</f>
        <v>Rigby Group (Regional and  City Airports Division)</v>
      </c>
      <c r="C157" s="46" t="str">
        <f>Sheet2!D154</f>
        <v>Year Ending March 2018</v>
      </c>
      <c r="D157" s="46" t="str">
        <f>Sheet2!E154</f>
        <v>GBP</v>
      </c>
      <c r="E157" s="46">
        <f>Sheet2!F154</f>
        <v>1.4011402388</v>
      </c>
      <c r="F157" s="35">
        <f>Sheet2!G154</f>
        <v>2300000</v>
      </c>
      <c r="G157" s="12">
        <f>Sheet2!J154</f>
        <v>45200000</v>
      </c>
      <c r="H157" s="21">
        <f>Sheet2!R154</f>
        <v>0</v>
      </c>
      <c r="I157" s="21">
        <f>Sheet2!AH154</f>
        <v>0</v>
      </c>
      <c r="J157" s="12">
        <f>Sheet2!AQ154</f>
        <v>7500000</v>
      </c>
      <c r="K157" s="12">
        <f>Sheet2!AT154</f>
        <v>0</v>
      </c>
      <c r="L157" s="21">
        <f>Sheet2!AV154</f>
        <v>0</v>
      </c>
    </row>
    <row r="158" spans="1:12" x14ac:dyDescent="0.25">
      <c r="A158" s="46" t="str">
        <f>Sheet2!A155</f>
        <v xml:space="preserve">Western Europe </v>
      </c>
      <c r="B158" s="46" t="str">
        <f>Sheet2!C155</f>
        <v> Aéroport de Genève</v>
      </c>
      <c r="C158" s="46" t="str">
        <f>Sheet2!D155</f>
        <v>Year Ending Dec 2018</v>
      </c>
      <c r="D158" s="46" t="str">
        <f>Sheet2!E155</f>
        <v>CHF</v>
      </c>
      <c r="E158" s="46">
        <f>Sheet2!F155</f>
        <v>1.0259274936</v>
      </c>
      <c r="F158" s="35">
        <f>Sheet2!G155</f>
        <v>17677035</v>
      </c>
      <c r="G158" s="12">
        <f>Sheet2!J155</f>
        <v>490200000</v>
      </c>
      <c r="H158" s="21">
        <f>Sheet2!R155</f>
        <v>214011000</v>
      </c>
      <c r="I158" s="21">
        <f>Sheet2!AH155</f>
        <v>407643000</v>
      </c>
      <c r="J158" s="12">
        <f>Sheet2!AQ155</f>
        <v>170300000</v>
      </c>
      <c r="K158" s="12">
        <f>Sheet2!AT155</f>
        <v>0</v>
      </c>
      <c r="L158" s="21">
        <f>Sheet2!AV155</f>
        <v>85100000</v>
      </c>
    </row>
    <row r="159" spans="1:12" x14ac:dyDescent="0.25">
      <c r="A159" s="46" t="str">
        <f>Sheet2!A156</f>
        <v xml:space="preserve">Western Europe </v>
      </c>
      <c r="B159" s="46" t="str">
        <f>Sheet2!C156</f>
        <v>Flughafen Zürich AG </v>
      </c>
      <c r="C159" s="46" t="str">
        <f>Sheet2!D156</f>
        <v>Year Ending Dec 2018</v>
      </c>
      <c r="D159" s="46" t="str">
        <f>Sheet2!E156</f>
        <v>CHF</v>
      </c>
      <c r="E159" s="46">
        <f>Sheet2!F156</f>
        <v>1.0259274936</v>
      </c>
      <c r="F159" s="35">
        <f>Sheet2!G156</f>
        <v>31113488</v>
      </c>
      <c r="G159" s="12">
        <f>Sheet2!J156</f>
        <v>1152587000</v>
      </c>
      <c r="H159" s="21">
        <f>Sheet2!R156</f>
        <v>496230000</v>
      </c>
      <c r="I159" s="21">
        <f>Sheet2!AH156</f>
        <v>581918000</v>
      </c>
      <c r="J159" s="12">
        <f>Sheet2!AQ156</f>
        <v>570979000</v>
      </c>
      <c r="K159" s="12">
        <f>Sheet2!AT156</f>
        <v>326527000</v>
      </c>
      <c r="L159" s="21">
        <f>Sheet2!AV156</f>
        <v>237841000</v>
      </c>
    </row>
    <row r="160" spans="1:12" x14ac:dyDescent="0.25">
      <c r="A160" s="46" t="str">
        <f>Sheet2!A157</f>
        <v xml:space="preserve">Western Europe </v>
      </c>
      <c r="B160" s="46" t="str">
        <f>Sheet2!C157</f>
        <v>L'administration de l’Aéroport de Bâle-Mulhouse</v>
      </c>
      <c r="C160" s="46" t="str">
        <f>Sheet2!D157</f>
        <v>Year Ending Dec 2018</v>
      </c>
      <c r="D160" s="46" t="str">
        <f>Sheet2!E157</f>
        <v>CHF</v>
      </c>
      <c r="E160" s="46">
        <f>Sheet2!F157</f>
        <v>1.0259274936</v>
      </c>
      <c r="F160" s="35">
        <f>Sheet2!G157</f>
        <v>8578064</v>
      </c>
      <c r="G160" s="12">
        <f>Sheet2!J157</f>
        <v>143100000</v>
      </c>
      <c r="H160" s="21">
        <f>Sheet2!R157</f>
        <v>69500000</v>
      </c>
      <c r="I160" s="21">
        <f>Sheet2!AH157</f>
        <v>90000000</v>
      </c>
      <c r="J160" s="12">
        <f>Sheet2!AQ157</f>
        <v>0</v>
      </c>
      <c r="K160" s="12">
        <f>Sheet2!AT157</f>
        <v>0</v>
      </c>
      <c r="L160" s="21">
        <f>Sheet2!AV157</f>
        <v>22900000</v>
      </c>
    </row>
    <row r="161" spans="1:12" x14ac:dyDescent="0.25">
      <c r="A161" s="46" t="str">
        <f>Sheet2!A158</f>
        <v xml:space="preserve">Western Europe </v>
      </c>
      <c r="B161" s="46" t="str">
        <f>Sheet2!C158</f>
        <v>AENA (Spanish Airports)</v>
      </c>
      <c r="C161" s="46" t="str">
        <f>Sheet2!D158</f>
        <v>Year Ending Dec 2018</v>
      </c>
      <c r="D161" s="46" t="str">
        <f>Sheet2!E158</f>
        <v>EUR</v>
      </c>
      <c r="E161" s="46">
        <f>Sheet2!F158</f>
        <v>1.1998614888000001</v>
      </c>
      <c r="F161" s="35">
        <f>Sheet2!G158</f>
        <v>263753406</v>
      </c>
      <c r="G161" s="12">
        <f>Sheet2!J158</f>
        <v>4118700000</v>
      </c>
      <c r="H161" s="21">
        <f>Sheet2!R158</f>
        <v>1028600000</v>
      </c>
      <c r="I161" s="21">
        <f>Sheet2!AH158</f>
        <v>1885000000</v>
      </c>
      <c r="J161" s="12">
        <f>Sheet2!AQ158</f>
        <v>2574000000</v>
      </c>
      <c r="K161" s="12">
        <f>Sheet2!AT158</f>
        <v>0</v>
      </c>
      <c r="L161" s="21">
        <f>Sheet2!AV158</f>
        <v>0</v>
      </c>
    </row>
    <row r="162" spans="1:12" x14ac:dyDescent="0.25">
      <c r="A162" s="46" t="str">
        <f>Sheet2!A160</f>
        <v xml:space="preserve">Western Europe </v>
      </c>
      <c r="B162" s="46" t="str">
        <f>Sheet2!C160</f>
        <v>Aeroportos de Portugal, S.A</v>
      </c>
      <c r="C162" s="46" t="str">
        <f>Sheet2!D160</f>
        <v>Year Ending Dec 2018</v>
      </c>
      <c r="D162" s="46" t="str">
        <f>Sheet2!E160</f>
        <v>EUR</v>
      </c>
      <c r="E162" s="46">
        <f>Sheet2!F160</f>
        <v>1.1998614888000001</v>
      </c>
      <c r="F162" s="35">
        <f>Sheet2!G160</f>
        <v>55325527</v>
      </c>
      <c r="G162" s="12">
        <f>Sheet2!J160</f>
        <v>781627000</v>
      </c>
      <c r="H162" s="21">
        <f>Sheet2!R160</f>
        <v>223545322.00000003</v>
      </c>
      <c r="I162" s="21">
        <f>Sheet2!AH160</f>
        <v>0</v>
      </c>
      <c r="J162" s="12">
        <f>Sheet2!AQ160</f>
        <v>553388000</v>
      </c>
      <c r="K162" s="12">
        <f>Sheet2!AT160</f>
        <v>463529000</v>
      </c>
      <c r="L162" s="21">
        <f>Sheet2!AV160</f>
        <v>282255000</v>
      </c>
    </row>
    <row r="163" spans="1:12" x14ac:dyDescent="0.25">
      <c r="A163" s="46" t="str">
        <f>Sheet2!A161</f>
        <v xml:space="preserve">Western Europe </v>
      </c>
      <c r="B163" s="46" t="str">
        <f>Sheet2!C161</f>
        <v>Société de l’aéroport de Luxembourg S.A. lux-Airport</v>
      </c>
      <c r="C163" s="46" t="str">
        <f>Sheet2!D161</f>
        <v>Year Ending Dec 2017</v>
      </c>
      <c r="D163" s="46" t="str">
        <f>Sheet2!E161</f>
        <v>EUR</v>
      </c>
      <c r="E163" s="46">
        <f>Sheet2!F161</f>
        <v>1.1998614888000001</v>
      </c>
      <c r="F163" s="35">
        <f>Sheet2!G161</f>
        <v>3600000</v>
      </c>
      <c r="G163" s="12">
        <f>Sheet2!J161</f>
        <v>54557867</v>
      </c>
      <c r="H163" s="21">
        <f>Sheet2!R161</f>
        <v>0</v>
      </c>
      <c r="I163" s="21">
        <f>Sheet2!AH161</f>
        <v>0</v>
      </c>
      <c r="J163" s="12">
        <f>Sheet2!AQ161</f>
        <v>0</v>
      </c>
      <c r="K163" s="12">
        <f>Sheet2!AT161</f>
        <v>0</v>
      </c>
      <c r="L163" s="21">
        <f>Sheet2!AV161</f>
        <v>14574029</v>
      </c>
    </row>
    <row r="164" spans="1:12" x14ac:dyDescent="0.25">
      <c r="A164" s="46" t="str">
        <f>Sheet2!A162</f>
        <v xml:space="preserve">Western Europe </v>
      </c>
      <c r="B164" s="46" t="str">
        <f>Sheet2!C162</f>
        <v>Schiphol Group</v>
      </c>
      <c r="C164" s="46" t="str">
        <f>Sheet2!D162</f>
        <v>Year Ending Dec 2018</v>
      </c>
      <c r="D164" s="46" t="str">
        <f>Sheet2!E162</f>
        <v>EUR</v>
      </c>
      <c r="E164" s="46">
        <f>Sheet2!F162</f>
        <v>1.1998614888000001</v>
      </c>
      <c r="F164" s="35">
        <f>Sheet2!G162</f>
        <v>79181000</v>
      </c>
      <c r="G164" s="12">
        <f>Sheet2!J162</f>
        <v>1509000000</v>
      </c>
      <c r="H164" s="21">
        <f>Sheet2!R162</f>
        <v>0</v>
      </c>
      <c r="I164" s="21">
        <f>Sheet2!AH162</f>
        <v>1048000000</v>
      </c>
      <c r="J164" s="12">
        <f>Sheet2!AQ162</f>
        <v>635000000</v>
      </c>
      <c r="K164" s="12">
        <f>Sheet2!AT162</f>
        <v>368000000</v>
      </c>
      <c r="L164" s="21">
        <f>Sheet2!AV162</f>
        <v>285000000</v>
      </c>
    </row>
    <row r="165" spans="1:12" x14ac:dyDescent="0.25">
      <c r="A165" s="46" t="str">
        <f>Sheet2!A164</f>
        <v xml:space="preserve">Western Europe </v>
      </c>
      <c r="B165" s="46" t="str">
        <f>Sheet2!C164</f>
        <v>Brussels Airport Company NV</v>
      </c>
      <c r="C165" s="46" t="str">
        <f>Sheet2!D164</f>
        <v>Year Ending Dec 2017</v>
      </c>
      <c r="D165" s="46" t="str">
        <f>Sheet2!E164</f>
        <v>EUR</v>
      </c>
      <c r="E165" s="46">
        <f>Sheet2!F164</f>
        <v>1.1998614888000001</v>
      </c>
      <c r="F165" s="35">
        <f>Sheet2!G164</f>
        <v>24783911</v>
      </c>
      <c r="G165" s="12">
        <f>Sheet2!J164</f>
        <v>551604000</v>
      </c>
      <c r="H165" s="21">
        <f>Sheet2!R164</f>
        <v>0</v>
      </c>
      <c r="I165" s="21">
        <f>Sheet2!AH164</f>
        <v>342965000</v>
      </c>
      <c r="J165" s="12">
        <f>Sheet2!AQ164</f>
        <v>307002000</v>
      </c>
      <c r="K165" s="12">
        <f>Sheet2!AT164</f>
        <v>208639000</v>
      </c>
      <c r="L165" s="21">
        <f>Sheet2!AV164</f>
        <v>103599000</v>
      </c>
    </row>
    <row r="166" spans="1:12" x14ac:dyDescent="0.25">
      <c r="A166" s="46" t="str">
        <f>Sheet2!A165</f>
        <v xml:space="preserve">Western Europe </v>
      </c>
      <c r="B166" s="46" t="str">
        <f>Sheet2!C165</f>
        <v>Malta International Airport plc</v>
      </c>
      <c r="C166" s="46" t="str">
        <f>Sheet2!D165</f>
        <v>Year Ending Dec 2018</v>
      </c>
      <c r="D166" s="46" t="str">
        <f>Sheet2!E165</f>
        <v>EUR</v>
      </c>
      <c r="E166" s="46">
        <f>Sheet2!F165</f>
        <v>1.1998614888000001</v>
      </c>
      <c r="F166" s="35">
        <f>Sheet2!G165</f>
        <v>6800000</v>
      </c>
      <c r="G166" s="12">
        <f>Sheet2!J165</f>
        <v>92200000</v>
      </c>
      <c r="H166" s="21">
        <f>Sheet2!R165</f>
        <v>26700000</v>
      </c>
      <c r="I166" s="21">
        <f>Sheet2!AH165</f>
        <v>45145696</v>
      </c>
      <c r="J166" s="12">
        <f>Sheet2!AQ165</f>
        <v>54000000</v>
      </c>
      <c r="K166" s="12">
        <f>Sheet2!AT165</f>
        <v>47000000</v>
      </c>
      <c r="L166" s="21">
        <f>Sheet2!AV165</f>
        <v>30300000</v>
      </c>
    </row>
    <row r="167" spans="1:12" x14ac:dyDescent="0.25">
      <c r="A167" s="46" t="str">
        <f>Sheet2!A166</f>
        <v>Nordic and Baltic Europe</v>
      </c>
      <c r="B167" s="46" t="str">
        <f>Sheet2!C166</f>
        <v>Copenhagen Airport A/S</v>
      </c>
      <c r="C167" s="46" t="str">
        <f>Sheet2!D166</f>
        <v>Year Ending Dec 2017</v>
      </c>
      <c r="D167" s="46" t="str">
        <f>Sheet2!E166</f>
        <v>DKK</v>
      </c>
      <c r="E167" s="46">
        <f>Sheet2!F166</f>
        <v>0.16106548540000001</v>
      </c>
      <c r="F167" s="35">
        <f>Sheet2!G166</f>
        <v>30300000</v>
      </c>
      <c r="G167" s="12">
        <f>Sheet2!J166</f>
        <v>4444800000</v>
      </c>
      <c r="H167" s="21">
        <f>Sheet2!R166</f>
        <v>1870000000</v>
      </c>
      <c r="I167" s="21">
        <f>Sheet2!AH166</f>
        <v>1900400000</v>
      </c>
      <c r="J167" s="12">
        <f>Sheet2!AQ166</f>
        <v>2546000000</v>
      </c>
      <c r="K167" s="12">
        <f>Sheet2!AT166</f>
        <v>1584000000</v>
      </c>
      <c r="L167" s="21">
        <f>Sheet2!AV166</f>
        <v>1105000000</v>
      </c>
    </row>
    <row r="168" spans="1:12" x14ac:dyDescent="0.25">
      <c r="A168" s="46" t="str">
        <f>Sheet2!A167</f>
        <v>Nordic and Baltic Europe</v>
      </c>
      <c r="B168" s="46" t="str">
        <f>Sheet2!C167</f>
        <v>Isavia</v>
      </c>
      <c r="C168" s="46" t="str">
        <f>Sheet2!D167</f>
        <v>Year Ending Dec 2017</v>
      </c>
      <c r="D168" s="46" t="str">
        <f>Sheet2!E167</f>
        <v>ISK</v>
      </c>
      <c r="E168" s="46">
        <f>Sheet2!F167</f>
        <v>9.6599687000000004E-3</v>
      </c>
      <c r="F168" s="35">
        <f>Sheet2!G167</f>
        <v>9600000</v>
      </c>
      <c r="G168" s="12">
        <f>Sheet2!J167</f>
        <v>37974000000</v>
      </c>
      <c r="H168" s="21">
        <f>Sheet2!R167</f>
        <v>23202114000</v>
      </c>
      <c r="I168" s="21">
        <f>Sheet2!AH167</f>
        <v>31451000000</v>
      </c>
      <c r="J168" s="12">
        <f>Sheet2!AQ167</f>
        <v>9853000000</v>
      </c>
      <c r="K168" s="12">
        <f>Sheet2!AT167</f>
        <v>6523000000</v>
      </c>
      <c r="L168" s="21">
        <f>Sheet2!AV167</f>
        <v>3949000000</v>
      </c>
    </row>
    <row r="169" spans="1:12" x14ac:dyDescent="0.25">
      <c r="A169" s="46" t="str">
        <f>Sheet2!A168</f>
        <v>Nordic and Baltic Europe</v>
      </c>
      <c r="B169" s="46" t="str">
        <f>Sheet2!C168</f>
        <v>Finavia Group</v>
      </c>
      <c r="C169" s="46" t="str">
        <f>Sheet2!D168</f>
        <v>Year Ending Dec 2018</v>
      </c>
      <c r="D169" s="46" t="str">
        <f>Sheet2!E168</f>
        <v>EUR</v>
      </c>
      <c r="E169" s="46">
        <f>Sheet2!F168</f>
        <v>1.1998614888000001</v>
      </c>
      <c r="F169" s="35">
        <f>Sheet2!G168</f>
        <v>25000000</v>
      </c>
      <c r="G169" s="12">
        <f>Sheet2!J168</f>
        <v>377300000</v>
      </c>
      <c r="H169" s="21">
        <f>Sheet2!R168</f>
        <v>178800000</v>
      </c>
      <c r="I169" s="21">
        <f>Sheet2!AH168</f>
        <v>246513000</v>
      </c>
      <c r="J169" s="12">
        <f>Sheet2!AQ168</f>
        <v>0</v>
      </c>
      <c r="K169" s="12">
        <f>Sheet2!AT168</f>
        <v>61400000</v>
      </c>
      <c r="L169" s="21">
        <f>Sheet2!AV168</f>
        <v>45300000</v>
      </c>
    </row>
    <row r="170" spans="1:12" x14ac:dyDescent="0.25">
      <c r="A170" s="46" t="str">
        <f>Sheet2!A169</f>
        <v>Nordic and Baltic Europe</v>
      </c>
      <c r="B170" s="46" t="str">
        <f>Sheet2!C169</f>
        <v>Avinor</v>
      </c>
      <c r="C170" s="46" t="str">
        <f>Sheet2!D169</f>
        <v>Year Ending Dec 2018</v>
      </c>
      <c r="D170" s="46" t="str">
        <f>Sheet2!E169</f>
        <v>NOK</v>
      </c>
      <c r="E170" s="46">
        <f>Sheet2!F169</f>
        <v>0.12189751109999999</v>
      </c>
      <c r="F170" s="35">
        <f>Sheet2!G169</f>
        <v>54387000</v>
      </c>
      <c r="G170" s="12">
        <f>Sheet2!J169</f>
        <v>11724000000</v>
      </c>
      <c r="H170" s="21">
        <f>Sheet2!R169</f>
        <v>6211000000</v>
      </c>
      <c r="I170" s="21">
        <f>Sheet2!AH169</f>
        <v>9626400000</v>
      </c>
      <c r="J170" s="12">
        <f>Sheet2!AQ169</f>
        <v>4200800000</v>
      </c>
      <c r="K170" s="12">
        <f>Sheet2!AT169</f>
        <v>0</v>
      </c>
      <c r="L170" s="21">
        <f>Sheet2!AV169</f>
        <v>1169000000</v>
      </c>
    </row>
    <row r="171" spans="1:12" x14ac:dyDescent="0.25">
      <c r="A171" s="46" t="str">
        <f>Sheet2!A170</f>
        <v>Nordic and Baltic Europe</v>
      </c>
      <c r="B171" s="46" t="str">
        <f>Sheet2!C170</f>
        <v>Swedavia</v>
      </c>
      <c r="C171" s="46" t="str">
        <f>Sheet2!D170</f>
        <v>Year Ending Dec 2018</v>
      </c>
      <c r="D171" s="46" t="str">
        <f>Sheet2!E170</f>
        <v>SEK</v>
      </c>
      <c r="E171" s="46">
        <f>Sheet2!F170</f>
        <v>0.1221962571</v>
      </c>
      <c r="F171" s="35">
        <f>Sheet2!G170</f>
        <v>42017000</v>
      </c>
      <c r="G171" s="12">
        <f>Sheet2!J170</f>
        <v>5922000000</v>
      </c>
      <c r="H171" s="21">
        <f>Sheet2!R170</f>
        <v>2191000000</v>
      </c>
      <c r="I171" s="21">
        <f>Sheet2!AH170</f>
        <v>5240000000</v>
      </c>
      <c r="J171" s="12">
        <f>Sheet2!AQ170</f>
        <v>0</v>
      </c>
      <c r="K171" s="12">
        <f>Sheet2!AT170</f>
        <v>682000000</v>
      </c>
      <c r="L171" s="21">
        <f>Sheet2!AV170</f>
        <v>517000000</v>
      </c>
    </row>
    <row r="172" spans="1:12" x14ac:dyDescent="0.25">
      <c r="A172" s="46" t="str">
        <f>Sheet2!A171</f>
        <v>Nordic and Baltic Europe</v>
      </c>
      <c r="B172" s="46" t="str">
        <f>Sheet2!C171</f>
        <v>SJSC Riga International Airport </v>
      </c>
      <c r="C172" s="46" t="str">
        <f>Sheet2!D171</f>
        <v>Year Ending Dec 2017</v>
      </c>
      <c r="D172" s="46" t="str">
        <f>Sheet2!E171</f>
        <v>EUR</v>
      </c>
      <c r="E172" s="46">
        <f>Sheet2!F171</f>
        <v>1.1998614888000001</v>
      </c>
      <c r="F172" s="35">
        <f>Sheet2!G171</f>
        <v>6100000</v>
      </c>
      <c r="G172" s="12">
        <f>Sheet2!J171</f>
        <v>54639000</v>
      </c>
      <c r="H172" s="21">
        <f>Sheet2!R171</f>
        <v>23221575.000000004</v>
      </c>
      <c r="I172" s="21">
        <f>Sheet2!AH171</f>
        <v>0</v>
      </c>
      <c r="J172" s="12">
        <f>Sheet2!AQ171</f>
        <v>0</v>
      </c>
      <c r="K172" s="12">
        <f>Sheet2!AT171</f>
        <v>0</v>
      </c>
      <c r="L172" s="21">
        <f>Sheet2!AV171</f>
        <v>358450</v>
      </c>
    </row>
    <row r="173" spans="1:12" x14ac:dyDescent="0.25">
      <c r="A173" s="46" t="str">
        <f>Sheet2!A172</f>
        <v>Nordic and Baltic Europe</v>
      </c>
      <c r="B173" s="46" t="str">
        <f>Sheet2!C172</f>
        <v>Lithuanian Airports</v>
      </c>
      <c r="C173" s="46" t="str">
        <f>Sheet2!D172</f>
        <v>6 Months Ending June 2018</v>
      </c>
      <c r="D173" s="46" t="str">
        <f>Sheet2!E172</f>
        <v>EUR</v>
      </c>
      <c r="E173" s="46">
        <f>Sheet2!F172</f>
        <v>1.169062244</v>
      </c>
      <c r="F173" s="35">
        <f>Sheet2!G172</f>
        <v>2900000</v>
      </c>
      <c r="G173" s="12">
        <f>Sheet2!J172</f>
        <v>20600000</v>
      </c>
      <c r="H173" s="21">
        <f>Sheet2!R172</f>
        <v>7000000</v>
      </c>
      <c r="I173" s="21">
        <f>Sheet2!AH172</f>
        <v>0</v>
      </c>
      <c r="J173" s="12">
        <f>Sheet2!AQ172</f>
        <v>0</v>
      </c>
      <c r="K173" s="12">
        <f>Sheet2!AT172</f>
        <v>0</v>
      </c>
      <c r="L173" s="21">
        <f>Sheet2!AV172</f>
        <v>0</v>
      </c>
    </row>
    <row r="174" spans="1:12" x14ac:dyDescent="0.25">
      <c r="A174" s="46" t="str">
        <f>Sheet2!A173</f>
        <v>Nordic and Baltic Europe</v>
      </c>
      <c r="B174" s="46" t="str">
        <f>Sheet2!C173</f>
        <v>Tallinn Airport Ltd (Tallin and regional airports)</v>
      </c>
      <c r="C174" s="46" t="str">
        <f>Sheet2!D173</f>
        <v>Year Ending Dec 2018</v>
      </c>
      <c r="D174" s="46" t="str">
        <f>Sheet2!E173</f>
        <v>EUR</v>
      </c>
      <c r="E174" s="46">
        <f>Sheet2!F173</f>
        <v>1.1998614888000001</v>
      </c>
      <c r="F174" s="35">
        <f>Sheet2!G173</f>
        <v>3069538</v>
      </c>
      <c r="G174" s="12">
        <f>Sheet2!J173</f>
        <v>43800000</v>
      </c>
      <c r="H174" s="21">
        <f>Sheet2!R173</f>
        <v>27649000</v>
      </c>
      <c r="I174" s="21">
        <f>Sheet2!AH173</f>
        <v>42216000</v>
      </c>
      <c r="J174" s="12">
        <f>Sheet2!AQ173</f>
        <v>15067000</v>
      </c>
      <c r="K174" s="12">
        <f>Sheet2!AT173</f>
        <v>0</v>
      </c>
      <c r="L174" s="21">
        <f>Sheet2!AV173</f>
        <v>7482000</v>
      </c>
    </row>
    <row r="175" spans="1:12" x14ac:dyDescent="0.25">
      <c r="A175" s="46" t="str">
        <f>Sheet2!A174</f>
        <v>Oceania</v>
      </c>
      <c r="B175" s="46" t="str">
        <f>Sheet2!C174</f>
        <v xml:space="preserve">Brisbane Airport Corporation Pty Limited </v>
      </c>
      <c r="C175" s="46" t="str">
        <f>Sheet2!D174</f>
        <v>Year Ending June 2018</v>
      </c>
      <c r="D175" s="46" t="str">
        <f>Sheet2!E174</f>
        <v>AUD</v>
      </c>
      <c r="E175" s="46">
        <f>Sheet2!F174</f>
        <v>0.76760491289999999</v>
      </c>
      <c r="F175" s="35">
        <f>Sheet2!G174</f>
        <v>23435252</v>
      </c>
      <c r="G175" s="12">
        <f>Sheet2!J174</f>
        <v>777000000</v>
      </c>
      <c r="H175" s="21">
        <f>Sheet2!R174</f>
        <v>466000000</v>
      </c>
      <c r="I175" s="21">
        <f>Sheet2!AH174</f>
        <v>433868000</v>
      </c>
      <c r="J175" s="12">
        <f>Sheet2!AQ174</f>
        <v>571700000</v>
      </c>
      <c r="K175" s="12">
        <f>Sheet2!AT174</f>
        <v>342667000</v>
      </c>
      <c r="L175" s="21">
        <f>Sheet2!AV174</f>
        <v>230146000</v>
      </c>
    </row>
    <row r="176" spans="1:12" x14ac:dyDescent="0.25">
      <c r="A176" s="46" t="str">
        <f>Sheet2!A175</f>
        <v>Oceania</v>
      </c>
      <c r="B176" s="46" t="str">
        <f>Sheet2!C175</f>
        <v>Adelaide Airport Limited</v>
      </c>
      <c r="C176" s="46" t="str">
        <f>Sheet2!D175</f>
        <v>Year Ending June 2018</v>
      </c>
      <c r="D176" s="46" t="str">
        <f>Sheet2!E175</f>
        <v>AUD</v>
      </c>
      <c r="E176" s="46">
        <f>Sheet2!F175</f>
        <v>0.74045602079999995</v>
      </c>
      <c r="F176" s="35">
        <f>Sheet2!G175</f>
        <v>8400000</v>
      </c>
      <c r="G176" s="12">
        <f>Sheet2!J175</f>
        <v>214305000</v>
      </c>
      <c r="H176" s="21">
        <f>Sheet2!R175</f>
        <v>106555000</v>
      </c>
      <c r="I176" s="21">
        <f>Sheet2!AH175</f>
        <v>108155000</v>
      </c>
      <c r="J176" s="12">
        <f>Sheet2!AQ175</f>
        <v>148613000</v>
      </c>
      <c r="K176" s="12">
        <f>Sheet2!AT175</f>
        <v>122815000</v>
      </c>
      <c r="L176" s="21">
        <f>Sheet2!AV175</f>
        <v>44908000</v>
      </c>
    </row>
    <row r="177" spans="1:12" x14ac:dyDescent="0.25">
      <c r="A177" s="46" t="str">
        <f>Sheet2!A176</f>
        <v>Oceania</v>
      </c>
      <c r="B177" s="46" t="str">
        <f>Sheet2!C176</f>
        <v>Newcastle Airport Limited</v>
      </c>
      <c r="C177" s="46" t="str">
        <f>Sheet2!D176</f>
        <v>Year Ending June 2018</v>
      </c>
      <c r="D177" s="46" t="str">
        <f>Sheet2!E176</f>
        <v>AUD</v>
      </c>
      <c r="E177" s="46">
        <f>Sheet2!F176</f>
        <v>0.74045602079999995</v>
      </c>
      <c r="F177" s="35">
        <f>Sheet2!G176</f>
        <v>1272634</v>
      </c>
      <c r="G177" s="12">
        <f>Sheet2!J176</f>
        <v>30250478</v>
      </c>
      <c r="H177" s="21">
        <f>Sheet2!R176</f>
        <v>4537571.6999999993</v>
      </c>
      <c r="I177" s="21">
        <f>Sheet2!AH176</f>
        <v>0</v>
      </c>
      <c r="J177" s="12">
        <f>Sheet2!AQ176</f>
        <v>0</v>
      </c>
      <c r="K177" s="12">
        <f>Sheet2!AT176</f>
        <v>0</v>
      </c>
      <c r="L177" s="21">
        <f>Sheet2!AV176</f>
        <v>0</v>
      </c>
    </row>
    <row r="178" spans="1:12" x14ac:dyDescent="0.25">
      <c r="A178" s="46" t="str">
        <f>Sheet2!A177</f>
        <v>Oceania</v>
      </c>
      <c r="B178" s="46" t="str">
        <f>Sheet2!C177</f>
        <v>Perth Airport</v>
      </c>
      <c r="C178" s="46" t="str">
        <f>Sheet2!D177</f>
        <v>Year Ending June 2018</v>
      </c>
      <c r="D178" s="46" t="str">
        <f>Sheet2!E177</f>
        <v>AUD</v>
      </c>
      <c r="E178" s="46">
        <f>Sheet2!F177</f>
        <v>0.74045602079999995</v>
      </c>
      <c r="F178" s="35">
        <f>Sheet2!G177</f>
        <v>13700000</v>
      </c>
      <c r="G178" s="12">
        <f>Sheet2!J177</f>
        <v>523288000</v>
      </c>
      <c r="H178" s="21">
        <f>Sheet2!R177</f>
        <v>289359000</v>
      </c>
      <c r="I178" s="21">
        <f>Sheet2!AH177</f>
        <v>250447000</v>
      </c>
      <c r="J178" s="12">
        <f>Sheet2!AQ177</f>
        <v>353530000</v>
      </c>
      <c r="K178" s="12">
        <f>Sheet2!AT177</f>
        <v>273068000</v>
      </c>
      <c r="L178" s="21" t="str">
        <f>Sheet2!AV177</f>
        <v xml:space="preserve"> </v>
      </c>
    </row>
    <row r="179" spans="1:12" x14ac:dyDescent="0.25">
      <c r="A179" s="46" t="str">
        <f>Sheet2!A178</f>
        <v>Oceania</v>
      </c>
      <c r="B179" s="46" t="str">
        <f>Sheet2!C178</f>
        <v>Airport Development Group (Darwin, Alice Springs, Tennant Creek)</v>
      </c>
      <c r="C179" s="46" t="str">
        <f>Sheet2!D178</f>
        <v>Year Ending June 2018</v>
      </c>
      <c r="D179" s="46" t="str">
        <f>Sheet2!E178</f>
        <v>AUD</v>
      </c>
      <c r="E179" s="46">
        <f>Sheet2!F178</f>
        <v>0.74045602079999995</v>
      </c>
      <c r="F179" s="35">
        <f>Sheet2!G178</f>
        <v>2883800</v>
      </c>
      <c r="G179" s="12">
        <f>Sheet2!J178</f>
        <v>124220000</v>
      </c>
      <c r="H179" s="21">
        <f>Sheet2!R178</f>
        <v>54697000</v>
      </c>
      <c r="I179" s="21">
        <f>Sheet2!AH178</f>
        <v>44026000</v>
      </c>
      <c r="J179" s="12">
        <f>Sheet2!AQ178</f>
        <v>80094000</v>
      </c>
      <c r="K179" s="12">
        <f>Sheet2!AT178</f>
        <v>38877000</v>
      </c>
      <c r="L179" s="21">
        <f>Sheet2!AV178</f>
        <v>19561000</v>
      </c>
    </row>
    <row r="180" spans="1:12" x14ac:dyDescent="0.25">
      <c r="A180" s="46" t="str">
        <f>Sheet2!A179</f>
        <v>Oceania</v>
      </c>
      <c r="B180" s="46" t="str">
        <f>Sheet2!C179</f>
        <v>Queensland Airports Limited</v>
      </c>
      <c r="C180" s="46" t="str">
        <f>Sheet2!D179</f>
        <v>Year Ending June 2018</v>
      </c>
      <c r="D180" s="46" t="str">
        <f>Sheet2!E179</f>
        <v>AUD</v>
      </c>
      <c r="E180" s="46">
        <f>Sheet2!F179</f>
        <v>0.74045602079999995</v>
      </c>
      <c r="F180" s="35">
        <f>Sheet2!G179</f>
        <v>8496473</v>
      </c>
      <c r="G180" s="12">
        <f>Sheet2!J179</f>
        <v>136109000</v>
      </c>
      <c r="H180" s="21">
        <f>Sheet2!R179</f>
        <v>0</v>
      </c>
      <c r="I180" s="21">
        <f>Sheet2!AH179</f>
        <v>74929000</v>
      </c>
      <c r="J180" s="12">
        <f>Sheet2!AQ179</f>
        <v>94921000</v>
      </c>
      <c r="K180" s="12">
        <f>Sheet2!AT179</f>
        <v>61180000</v>
      </c>
      <c r="L180" s="21">
        <f>Sheet2!AV179</f>
        <v>19449000</v>
      </c>
    </row>
    <row r="181" spans="1:12" x14ac:dyDescent="0.25">
      <c r="A181" s="46" t="str">
        <f>Sheet2!A180</f>
        <v>Oceania</v>
      </c>
      <c r="B181" s="46" t="str">
        <f>Sheet2!C180</f>
        <v>Sydney Airport Limited</v>
      </c>
      <c r="C181" s="46" t="str">
        <f>Sheet2!D180</f>
        <v>Year Ending June 2018</v>
      </c>
      <c r="D181" s="46" t="str">
        <f>Sheet2!E180</f>
        <v>AUD</v>
      </c>
      <c r="E181" s="46">
        <f>Sheet2!F180</f>
        <v>0.74045602079999995</v>
      </c>
      <c r="F181" s="35">
        <f>Sheet2!G180</f>
        <v>44400000</v>
      </c>
      <c r="G181" s="12">
        <f>Sheet2!J180</f>
        <v>344149000</v>
      </c>
      <c r="H181" s="21">
        <f>Sheet2!R180</f>
        <v>0</v>
      </c>
      <c r="I181" s="21">
        <f>Sheet2!AH180</f>
        <v>302300000</v>
      </c>
      <c r="J181" s="12">
        <f>Sheet2!AQ180</f>
        <v>1282600000</v>
      </c>
      <c r="K181" s="12">
        <f>Sheet2!AT180</f>
        <v>867000000</v>
      </c>
      <c r="L181" s="21">
        <f>Sheet2!AV180</f>
        <v>259500000</v>
      </c>
    </row>
    <row r="182" spans="1:12" x14ac:dyDescent="0.25">
      <c r="A182" s="46" t="str">
        <f>Sheet2!A181</f>
        <v>Oceania</v>
      </c>
      <c r="B182" s="46" t="str">
        <f>Sheet2!C181</f>
        <v>Australia Pacific Airports Corporation Limited</v>
      </c>
      <c r="C182" s="46" t="str">
        <f>Sheet2!D181</f>
        <v>Year Ending June 2018</v>
      </c>
      <c r="D182" s="46" t="str">
        <f>Sheet2!E181</f>
        <v>AUD</v>
      </c>
      <c r="E182" s="46">
        <f>Sheet2!F181</f>
        <v>0.74045602079999995</v>
      </c>
      <c r="F182" s="35">
        <f>Sheet2!G181</f>
        <v>38100000</v>
      </c>
      <c r="G182" s="12">
        <f>Sheet2!J181</f>
        <v>1011831000</v>
      </c>
      <c r="H182" s="21">
        <f>Sheet2!R181</f>
        <v>611610399</v>
      </c>
      <c r="I182" s="21">
        <f>Sheet2!AH181</f>
        <v>451162000</v>
      </c>
      <c r="J182" s="12">
        <f>Sheet2!AQ181</f>
        <v>734625000</v>
      </c>
      <c r="K182" s="12">
        <f>Sheet2!AT181</f>
        <v>560669000</v>
      </c>
      <c r="L182" s="21">
        <f>Sheet2!AV181</f>
        <v>314855000</v>
      </c>
    </row>
    <row r="183" spans="1:12" x14ac:dyDescent="0.25">
      <c r="A183" s="46" t="str">
        <f>Sheet2!A182</f>
        <v>Oceania</v>
      </c>
      <c r="B183" s="46" t="str">
        <f>Sheet2!C182</f>
        <v>Christchurch Airport Ltd</v>
      </c>
      <c r="C183" s="46" t="str">
        <f>Sheet2!D182</f>
        <v>Year Ending June 2018</v>
      </c>
      <c r="D183" s="46" t="str">
        <f>Sheet2!E182</f>
        <v>NZD</v>
      </c>
      <c r="E183" s="46">
        <f>Sheet2!F182</f>
        <v>0.73211619679999995</v>
      </c>
      <c r="F183" s="35">
        <f>Sheet2!G182</f>
        <v>0</v>
      </c>
      <c r="G183" s="12">
        <f>Sheet2!J182</f>
        <v>236577000</v>
      </c>
      <c r="H183" s="21">
        <f>Sheet2!R182</f>
        <v>94275000</v>
      </c>
      <c r="I183" s="21">
        <f>Sheet2!AH182</f>
        <v>125729000</v>
      </c>
      <c r="J183" s="12">
        <f>Sheet2!AQ182</f>
        <v>0</v>
      </c>
      <c r="K183" s="12">
        <f>Sheet2!AT182</f>
        <v>0</v>
      </c>
      <c r="L183" s="21">
        <f>Sheet2!AV182</f>
        <v>235638000</v>
      </c>
    </row>
    <row r="184" spans="1:12" x14ac:dyDescent="0.25">
      <c r="A184" s="46" t="str">
        <f>Sheet2!A183</f>
        <v>Oceania</v>
      </c>
      <c r="B184" s="46" t="str">
        <f>Sheet2!C183</f>
        <v>Wellington International Airport Ltd</v>
      </c>
      <c r="C184" s="46" t="str">
        <f>Sheet2!D183</f>
        <v>Year Ending March 2018</v>
      </c>
      <c r="D184" s="46" t="str">
        <f>Sheet2!E183</f>
        <v>NZD</v>
      </c>
      <c r="E184" s="46">
        <f>Sheet2!F183</f>
        <v>0.72430583240000002</v>
      </c>
      <c r="F184" s="35">
        <f>Sheet2!G183</f>
        <v>6144686</v>
      </c>
      <c r="G184" s="12">
        <f>Sheet2!J183</f>
        <v>128637000</v>
      </c>
      <c r="H184" s="21">
        <f>Sheet2!R183</f>
        <v>52483000</v>
      </c>
      <c r="I184" s="21">
        <f>Sheet2!AH183</f>
        <v>56809000</v>
      </c>
      <c r="J184" s="12">
        <f>Sheet2!AQ183</f>
        <v>203355000</v>
      </c>
      <c r="K184" s="12">
        <f>Sheet2!AT183</f>
        <v>179768000</v>
      </c>
      <c r="L184" s="21">
        <f>Sheet2!AV183</f>
        <v>24681000</v>
      </c>
    </row>
    <row r="185" spans="1:12" x14ac:dyDescent="0.25">
      <c r="A185" s="46" t="str">
        <f>Sheet2!A184</f>
        <v>Oceania</v>
      </c>
      <c r="B185" s="46" t="str">
        <f>Sheet2!C184</f>
        <v>Waikato Regional Airport Limited Group (Hamilton Airport)</v>
      </c>
      <c r="C185" s="46" t="str">
        <f>Sheet2!D184</f>
        <v>Year Ending June 2018</v>
      </c>
      <c r="D185" s="46" t="str">
        <f>Sheet2!E184</f>
        <v>NZD</v>
      </c>
      <c r="E185" s="46">
        <f>Sheet2!F184</f>
        <v>0.67665657820000003</v>
      </c>
      <c r="F185" s="35">
        <f>Sheet2!G184</f>
        <v>353000</v>
      </c>
      <c r="G185" s="12">
        <f>Sheet2!J184</f>
        <v>8594000</v>
      </c>
      <c r="H185" s="21">
        <f>Sheet2!R184</f>
        <v>0</v>
      </c>
      <c r="I185" s="21">
        <f>Sheet2!AH184</f>
        <v>8157000</v>
      </c>
      <c r="J185" s="12">
        <f>Sheet2!AQ184</f>
        <v>3835000</v>
      </c>
      <c r="K185" s="12">
        <f>Sheet2!AT184</f>
        <v>437000</v>
      </c>
      <c r="L185" s="21">
        <f>Sheet2!AV184</f>
        <v>2380000</v>
      </c>
    </row>
    <row r="186" spans="1:12" x14ac:dyDescent="0.25">
      <c r="A186" s="46" t="str">
        <f>Sheet2!A185</f>
        <v>Oceania</v>
      </c>
      <c r="B186" s="46" t="str">
        <f>Sheet2!C185</f>
        <v xml:space="preserve">Auckland International Airport Limited </v>
      </c>
      <c r="C186" s="46" t="str">
        <f>Sheet2!D185</f>
        <v>Year Ending June 2018</v>
      </c>
      <c r="D186" s="46" t="str">
        <f>Sheet2!E185</f>
        <v>NZD</v>
      </c>
      <c r="E186" s="46">
        <f>Sheet2!F185</f>
        <v>0.67665657820000003</v>
      </c>
      <c r="F186" s="35">
        <f>Sheet2!G185</f>
        <v>20530048</v>
      </c>
      <c r="G186" s="12">
        <f>Sheet2!J185</f>
        <v>683900000</v>
      </c>
      <c r="H186" s="21">
        <f>Sheet2!R185</f>
        <v>382700000</v>
      </c>
      <c r="I186" s="21">
        <f>Sheet2!AH185</f>
        <v>266400000</v>
      </c>
      <c r="J186" s="12">
        <f>Sheet2!AQ185</f>
        <v>506400000</v>
      </c>
      <c r="K186" s="12">
        <f>Sheet2!AT185</f>
        <v>417500000</v>
      </c>
      <c r="L186" s="21">
        <f>Sheet2!AV185</f>
        <v>650100000</v>
      </c>
    </row>
    <row r="187" spans="1:12" x14ac:dyDescent="0.25">
      <c r="A187" s="46" t="str">
        <f>Sheet2!A186</f>
        <v>Oceania</v>
      </c>
      <c r="B187" s="46" t="str">
        <f>Sheet2!C186</f>
        <v>Dunedin International Airport Limited</v>
      </c>
      <c r="C187" s="46" t="str">
        <f>Sheet2!D186</f>
        <v>Year Ending June 2018</v>
      </c>
      <c r="D187" s="46" t="str">
        <f>Sheet2!E186</f>
        <v>NZD</v>
      </c>
      <c r="E187" s="46">
        <f>Sheet2!F186</f>
        <v>0.73211619679999995</v>
      </c>
      <c r="F187" s="35">
        <f>Sheet2!G186</f>
        <v>1030512</v>
      </c>
      <c r="G187" s="12">
        <f>Sheet2!J186</f>
        <v>16522000</v>
      </c>
      <c r="H187" s="21">
        <f>Sheet2!R186</f>
        <v>9300000</v>
      </c>
      <c r="I187" s="21">
        <f>Sheet2!AH186</f>
        <v>11761000</v>
      </c>
      <c r="J187" s="12">
        <f>Sheet2!AQ186</f>
        <v>0</v>
      </c>
      <c r="K187" s="12">
        <f>Sheet2!AT186</f>
        <v>0</v>
      </c>
      <c r="L187" s="21">
        <f>Sheet2!AV186</f>
        <v>3630000</v>
      </c>
    </row>
    <row r="188" spans="1:12" x14ac:dyDescent="0.25">
      <c r="A188" s="46" t="str">
        <f>Sheet2!A187</f>
        <v>Pacific Islands</v>
      </c>
      <c r="B188" s="46" t="str">
        <f>Sheet2!C187</f>
        <v>Airports Fiji Ltd</v>
      </c>
      <c r="C188" s="46" t="str">
        <f>Sheet2!D187</f>
        <v>Year Ending Dec 2016</v>
      </c>
      <c r="D188" s="46" t="str">
        <f>Sheet2!E187</f>
        <v>FJD</v>
      </c>
      <c r="E188" s="46">
        <f>Sheet2!F187</f>
        <v>0.49019608749999999</v>
      </c>
      <c r="F188" s="35">
        <f>Sheet2!G187</f>
        <v>2697504</v>
      </c>
      <c r="G188" s="12">
        <f>Sheet2!J187</f>
        <v>111216194</v>
      </c>
      <c r="H188" s="21">
        <f>Sheet2!R187</f>
        <v>36100904</v>
      </c>
      <c r="I188" s="21">
        <f>Sheet2!AH187</f>
        <v>39400000</v>
      </c>
      <c r="J188" s="12">
        <f>Sheet2!AQ187</f>
        <v>0</v>
      </c>
      <c r="K188" s="12">
        <f>Sheet2!AT187</f>
        <v>65279000</v>
      </c>
      <c r="L188" s="21">
        <f>Sheet2!AV187</f>
        <v>49500000</v>
      </c>
    </row>
    <row r="189" spans="1:12" x14ac:dyDescent="0.25">
      <c r="A189" s="46" t="str">
        <f>Sheet2!A188</f>
        <v>Pacific Islands</v>
      </c>
      <c r="B189" s="46" t="str">
        <f>Sheet2!C188</f>
        <v>Tonga Airports Limited</v>
      </c>
      <c r="C189" s="46" t="str">
        <f>Sheet2!D188</f>
        <v>Year Ending June 2016</v>
      </c>
      <c r="D189" s="46" t="str">
        <f>Sheet2!E188</f>
        <v>TOP</v>
      </c>
      <c r="E189" s="46">
        <f>Sheet2!F188</f>
        <v>0.44995136270000002</v>
      </c>
      <c r="F189" s="35">
        <f>Sheet2!G188</f>
        <v>190973</v>
      </c>
      <c r="G189" s="12">
        <f>Sheet2!J188</f>
        <v>11769295</v>
      </c>
      <c r="H189" s="21">
        <f>Sheet2!R188</f>
        <v>1238334</v>
      </c>
      <c r="I189" s="21">
        <f>Sheet2!AH188</f>
        <v>8163458</v>
      </c>
      <c r="J189" s="12">
        <f>Sheet2!AQ188</f>
        <v>0</v>
      </c>
      <c r="K189" s="12">
        <f>Sheet2!AT188</f>
        <v>3605837</v>
      </c>
      <c r="L189" s="21">
        <f>Sheet2!AV188</f>
        <v>2621284</v>
      </c>
    </row>
    <row r="190" spans="1:12" x14ac:dyDescent="0.25">
      <c r="A190" s="46" t="str">
        <f>Sheet2!A190</f>
        <v>Pacific Islands</v>
      </c>
      <c r="B190" s="46" t="str">
        <f>Sheet2!C190</f>
        <v>Guam International Airport Authority</v>
      </c>
      <c r="C190" s="46" t="str">
        <f>Sheet2!D190</f>
        <v>Year Ending Sept 2017</v>
      </c>
      <c r="D190" s="46" t="str">
        <f>Sheet2!E190</f>
        <v>USD</v>
      </c>
      <c r="E190" s="46">
        <f>Sheet2!F190</f>
        <v>1</v>
      </c>
      <c r="F190" s="35">
        <f>Sheet2!G190</f>
        <v>3716758</v>
      </c>
      <c r="G190" s="12">
        <f>Sheet2!J190</f>
        <v>70500000</v>
      </c>
      <c r="H190" s="21">
        <f>Sheet2!R190</f>
        <v>39900000</v>
      </c>
      <c r="I190" s="21">
        <f>Sheet2!AH190</f>
        <v>70460322</v>
      </c>
      <c r="J190" s="12">
        <f>Sheet2!AQ190</f>
        <v>26870121</v>
      </c>
      <c r="K190" s="12">
        <f>Sheet2!AT190</f>
        <v>39678</v>
      </c>
      <c r="L190" s="21">
        <f>Sheet2!AV190</f>
        <v>0</v>
      </c>
    </row>
    <row r="191" spans="1:12" x14ac:dyDescent="0.25">
      <c r="A191" s="46" t="str">
        <f>Sheet2!A191</f>
        <v>Pacific Islands</v>
      </c>
      <c r="B191" s="46" t="str">
        <f>Sheet2!C191</f>
        <v>Commonwealth Port Authority</v>
      </c>
      <c r="C191" s="46" t="str">
        <f>Sheet2!D191</f>
        <v>Year Ending Sept 2016</v>
      </c>
      <c r="D191" s="46" t="str">
        <f>Sheet2!E191</f>
        <v>USD</v>
      </c>
      <c r="E191" s="46">
        <f>Sheet2!F191</f>
        <v>1</v>
      </c>
      <c r="F191" s="35">
        <f>Sheet2!G191</f>
        <v>1211904</v>
      </c>
      <c r="G191" s="12">
        <f>Sheet2!J191</f>
        <v>14391258</v>
      </c>
      <c r="H191" s="21">
        <f>Sheet2!R191</f>
        <v>6490755</v>
      </c>
      <c r="I191" s="21" t="str">
        <f>Sheet2!AH191</f>
        <v xml:space="preserve"> </v>
      </c>
      <c r="J191" s="12">
        <f>Sheet2!AQ191</f>
        <v>0</v>
      </c>
      <c r="K191" s="12">
        <f>Sheet2!AT191</f>
        <v>0</v>
      </c>
      <c r="L191" s="21">
        <f>Sheet2!AV191</f>
        <v>0</v>
      </c>
    </row>
    <row r="192" spans="1:12" x14ac:dyDescent="0.25">
      <c r="A192" s="46" t="str">
        <f>Sheet2!A192</f>
        <v>Pacific Islands</v>
      </c>
      <c r="B192" s="46" t="str">
        <f>Sheet2!C192</f>
        <v>Samoa Airport Authority</v>
      </c>
      <c r="C192" s="46" t="str">
        <f>Sheet2!D192</f>
        <v>Year Ending June 2017</v>
      </c>
      <c r="D192" s="46" t="str">
        <f>Sheet2!E192</f>
        <v>USD</v>
      </c>
      <c r="E192" s="46">
        <f>Sheet2!F192</f>
        <v>1</v>
      </c>
      <c r="F192" s="35">
        <f>Sheet2!G192</f>
        <v>327564</v>
      </c>
      <c r="G192" s="12">
        <f>Sheet2!J192</f>
        <v>14960606</v>
      </c>
      <c r="H192" s="21">
        <f>Sheet2!R192</f>
        <v>1756751</v>
      </c>
      <c r="I192" s="21">
        <f>Sheet2!AH192</f>
        <v>14543425</v>
      </c>
      <c r="J192" s="12">
        <f>Sheet2!AQ192</f>
        <v>0</v>
      </c>
      <c r="K192" s="12">
        <f>Sheet2!AT192</f>
        <v>417181</v>
      </c>
      <c r="L192" s="21">
        <f>Sheet2!AV192</f>
        <v>540947</v>
      </c>
    </row>
    <row r="193" spans="1:12" x14ac:dyDescent="0.25">
      <c r="A193" s="46" t="str">
        <f>Sheet2!A193</f>
        <v>Pacific Islands</v>
      </c>
      <c r="B193" s="46" t="str">
        <f>Sheet2!C193</f>
        <v>Aeroport de Tahiti</v>
      </c>
      <c r="C193" s="46" t="str">
        <f>Sheet2!D193</f>
        <v>Year Ending Dec 2017</v>
      </c>
      <c r="D193" s="46" t="str">
        <f>Sheet2!E193</f>
        <v>CFP</v>
      </c>
      <c r="E193" s="46">
        <f>Sheet2!F193</f>
        <v>1.00548393E-2</v>
      </c>
      <c r="F193" s="35">
        <f>Sheet2!G193</f>
        <v>1903469</v>
      </c>
      <c r="G193" s="12">
        <f>Sheet2!J193</f>
        <v>2376000000</v>
      </c>
      <c r="H193" s="21">
        <f>Sheet2!R193</f>
        <v>1296000000</v>
      </c>
      <c r="I193" s="21">
        <f>Sheet2!AH193</f>
        <v>3770124224</v>
      </c>
      <c r="J193" s="12">
        <f>Sheet2!AQ193</f>
        <v>915000000</v>
      </c>
      <c r="K193" s="12">
        <f>Sheet2!AT193</f>
        <v>327000000</v>
      </c>
      <c r="L193" s="21">
        <f>Sheet2!AV193</f>
        <v>193000000</v>
      </c>
    </row>
    <row r="194" spans="1:12" x14ac:dyDescent="0.25">
      <c r="A194" s="46" t="str">
        <f>Sheet2!A194</f>
        <v>Pacific Islands</v>
      </c>
      <c r="B194" s="46" t="str">
        <f>Sheet2!C194</f>
        <v>Commonwealth Port Authority (Saipan Airport)</v>
      </c>
      <c r="C194" s="46" t="str">
        <f>Sheet2!D194</f>
        <v>Year Ending Sept 2017</v>
      </c>
      <c r="D194" s="46" t="str">
        <f>Sheet2!E194</f>
        <v>USD</v>
      </c>
      <c r="E194" s="46">
        <f>Sheet2!F194</f>
        <v>1</v>
      </c>
      <c r="F194" s="35">
        <f>Sheet2!G194</f>
        <v>1473940</v>
      </c>
      <c r="G194" s="12">
        <f>Sheet2!J194</f>
        <v>17213296</v>
      </c>
      <c r="H194" s="21">
        <f>Sheet2!R194</f>
        <v>6586259</v>
      </c>
      <c r="I194" s="21">
        <f>Sheet2!AH194</f>
        <v>16824704</v>
      </c>
      <c r="J194" s="12">
        <f>Sheet2!AQ194</f>
        <v>0</v>
      </c>
      <c r="K194" s="12">
        <f>Sheet2!AT194</f>
        <v>388592</v>
      </c>
      <c r="L194" s="21">
        <f>Sheet2!AV194</f>
        <v>0</v>
      </c>
    </row>
    <row r="195" spans="1:12" x14ac:dyDescent="0.25">
      <c r="A195" s="46" t="str">
        <f>Sheet2!A195</f>
        <v>Pacific Islands</v>
      </c>
      <c r="B195" s="46" t="str">
        <f>Sheet2!C195</f>
        <v>Department of Port Administration (Pago Pago International Airport)</v>
      </c>
      <c r="C195" s="46" t="str">
        <f>Sheet2!D195</f>
        <v>Year Ending Sept 2017</v>
      </c>
      <c r="D195" s="46" t="str">
        <f>Sheet2!E195</f>
        <v>USD</v>
      </c>
      <c r="E195" s="46">
        <f>Sheet2!F195</f>
        <v>1</v>
      </c>
      <c r="F195" s="35">
        <f>Sheet2!G195</f>
        <v>140786</v>
      </c>
      <c r="G195" s="12">
        <f>Sheet2!J195</f>
        <v>1691911</v>
      </c>
      <c r="H195" s="21">
        <f>Sheet2!R195</f>
        <v>1157949</v>
      </c>
      <c r="I195" s="21">
        <f>Sheet2!AH195</f>
        <v>2434299</v>
      </c>
      <c r="J195" s="12">
        <f>Sheet2!AQ195</f>
        <v>0</v>
      </c>
      <c r="K195" s="12">
        <f>Sheet2!AT195</f>
        <v>-742388</v>
      </c>
      <c r="L195" s="21">
        <f>Sheet2!AV195</f>
        <v>0</v>
      </c>
    </row>
    <row r="196" spans="1:12" x14ac:dyDescent="0.25">
      <c r="A196" s="46" t="str">
        <f>Sheet2!A197</f>
        <v>Pacific Islands</v>
      </c>
      <c r="B196" s="46" t="str">
        <f>Sheet2!C197</f>
        <v>Department of Transportation (Honolulu International Airport)</v>
      </c>
      <c r="C196" s="46" t="str">
        <f>Sheet2!D197</f>
        <v>Year Ending June 2018</v>
      </c>
      <c r="D196" s="46" t="str">
        <f>Sheet2!E197</f>
        <v>USD</v>
      </c>
      <c r="E196" s="46">
        <f>Sheet2!F197</f>
        <v>1</v>
      </c>
      <c r="F196" s="35">
        <f>Sheet2!G197</f>
        <v>21310946</v>
      </c>
      <c r="G196" s="12">
        <f>Sheet2!J197</f>
        <v>280345040</v>
      </c>
      <c r="H196" s="21">
        <f>Sheet2!R197</f>
        <v>160917480</v>
      </c>
      <c r="I196" s="21">
        <f>Sheet2!AH197</f>
        <v>238092905</v>
      </c>
      <c r="J196" s="12">
        <f>Sheet2!AQ197</f>
        <v>0</v>
      </c>
      <c r="K196" s="12">
        <f>Sheet2!AT197</f>
        <v>42252135</v>
      </c>
      <c r="L196" s="21">
        <f>Sheet2!AV197</f>
        <v>0</v>
      </c>
    </row>
    <row r="197" spans="1:12" x14ac:dyDescent="0.25">
      <c r="A197" s="46" t="str">
        <f>Sheet2!A198</f>
        <v>Pacific Islands</v>
      </c>
      <c r="B197" s="46" t="str">
        <f>Sheet2!C198</f>
        <v>Department of Transportation (Kahului International Airport)</v>
      </c>
      <c r="C197" s="46" t="str">
        <f>Sheet2!D198</f>
        <v>Year Ending June 2018</v>
      </c>
      <c r="D197" s="46" t="str">
        <f>Sheet2!E198</f>
        <v>USD</v>
      </c>
      <c r="E197" s="46">
        <f>Sheet2!F198</f>
        <v>1</v>
      </c>
      <c r="F197" s="35">
        <f>Sheet2!G198</f>
        <v>7307580</v>
      </c>
      <c r="G197" s="12">
        <f>Sheet2!J198</f>
        <v>72349521</v>
      </c>
      <c r="H197" s="21">
        <f>Sheet2!R198</f>
        <v>40484966</v>
      </c>
      <c r="I197" s="21">
        <f>Sheet2!AH198</f>
        <v>52821550</v>
      </c>
      <c r="J197" s="12">
        <f>Sheet2!AQ198</f>
        <v>0</v>
      </c>
      <c r="K197" s="12">
        <f>Sheet2!AT198</f>
        <v>19527971</v>
      </c>
      <c r="L197" s="21">
        <f>Sheet2!AV198</f>
        <v>0</v>
      </c>
    </row>
    <row r="198" spans="1:12" x14ac:dyDescent="0.25">
      <c r="A198" s="46" t="str">
        <f>Sheet2!A199</f>
        <v>Caribbean</v>
      </c>
      <c r="B198" s="46" t="str">
        <f>Sheet2!C199</f>
        <v>Nassau Airport Development Company</v>
      </c>
      <c r="C198" s="46" t="str">
        <f>Sheet2!D199</f>
        <v>Year Ending Dec 2017</v>
      </c>
      <c r="D198" s="46" t="str">
        <f>Sheet2!E199</f>
        <v>USD</v>
      </c>
      <c r="E198" s="46">
        <f>Sheet2!F199</f>
        <v>1</v>
      </c>
      <c r="F198" s="35">
        <f>Sheet2!G199</f>
        <v>3300000</v>
      </c>
      <c r="G198" s="12">
        <f>Sheet2!J199</f>
        <v>77000000</v>
      </c>
      <c r="H198" s="21">
        <f>Sheet2!R199</f>
        <v>15457215</v>
      </c>
      <c r="I198" s="21">
        <f>Sheet2!AH199</f>
        <v>48532309</v>
      </c>
      <c r="J198" s="12">
        <f>Sheet2!AQ199</f>
        <v>53035544</v>
      </c>
      <c r="K198" s="12">
        <f>Sheet2!AT199</f>
        <v>28467691</v>
      </c>
      <c r="L198" s="21">
        <f>Sheet2!AV199</f>
        <v>-14513373</v>
      </c>
    </row>
    <row r="199" spans="1:12" x14ac:dyDescent="0.25">
      <c r="A199" s="46" t="str">
        <f>Sheet2!A200</f>
        <v>Caribbean</v>
      </c>
      <c r="B199" s="46" t="str">
        <f>Sheet2!C200</f>
        <v>Vinci (Dominican Republic Airports)</v>
      </c>
      <c r="C199" s="46" t="str">
        <f>Sheet2!D200</f>
        <v>Year Ending Dec 2018</v>
      </c>
      <c r="D199" s="46" t="str">
        <f>Sheet2!E200</f>
        <v>EUR</v>
      </c>
      <c r="E199" s="46">
        <f>Sheet2!F200</f>
        <v>1.1998614888000001</v>
      </c>
      <c r="F199" s="35">
        <f>Sheet2!G200</f>
        <v>5000000</v>
      </c>
      <c r="G199" s="12">
        <f>Sheet2!J200</f>
        <v>128560000</v>
      </c>
      <c r="H199" s="21">
        <f>Sheet2!R200</f>
        <v>0</v>
      </c>
      <c r="I199" s="21">
        <f>Sheet2!AH200</f>
        <v>0</v>
      </c>
      <c r="J199" s="12">
        <f>Sheet2!AQ200</f>
        <v>112920000</v>
      </c>
      <c r="K199" s="12">
        <f>Sheet2!AT200</f>
        <v>0</v>
      </c>
      <c r="L199" s="21">
        <f>Sheet2!AV200</f>
        <v>0</v>
      </c>
    </row>
    <row r="200" spans="1:12" x14ac:dyDescent="0.25">
      <c r="A200" s="46" t="str">
        <f>Sheet2!A201</f>
        <v>Caribbean</v>
      </c>
      <c r="B200" s="46" t="str">
        <f>Sheet2!C201</f>
        <v>NMIA Airports Limited</v>
      </c>
      <c r="C200" s="46" t="str">
        <f>Sheet2!D201</f>
        <v>Year Ending March 2017</v>
      </c>
      <c r="D200" s="46" t="str">
        <f>Sheet2!E201</f>
        <v>USD</v>
      </c>
      <c r="E200" s="46">
        <f>Sheet2!F201</f>
        <v>1</v>
      </c>
      <c r="F200" s="35">
        <f>Sheet2!G201</f>
        <v>1586362</v>
      </c>
      <c r="G200" s="12">
        <f>Sheet2!J201</f>
        <v>38085000</v>
      </c>
      <c r="H200" s="21">
        <f>Sheet2!R201</f>
        <v>13710600</v>
      </c>
      <c r="I200" s="21">
        <f>Sheet2!AH201</f>
        <v>35545000</v>
      </c>
      <c r="J200" s="12">
        <f>Sheet2!AQ201</f>
        <v>19037000</v>
      </c>
      <c r="K200" s="12">
        <f>Sheet2!AT201</f>
        <v>9533000</v>
      </c>
      <c r="L200" s="21">
        <f>Sheet2!AV201</f>
        <v>5205000</v>
      </c>
    </row>
    <row r="201" spans="1:12" x14ac:dyDescent="0.25">
      <c r="A201" s="46" t="str">
        <f>Sheet2!A202</f>
        <v>Caribbean</v>
      </c>
      <c r="B201" s="46" t="str">
        <f>Sheet2!C202</f>
        <v>Grupo Aeroportuario Del Pacifico (Sangster Airport)</v>
      </c>
      <c r="C201" s="46" t="str">
        <f>Sheet2!D202</f>
        <v>Year Ending Dec 2017</v>
      </c>
      <c r="D201" s="46" t="str">
        <f>Sheet2!E202</f>
        <v>USD</v>
      </c>
      <c r="E201" s="46">
        <f>Sheet2!F202</f>
        <v>1</v>
      </c>
      <c r="F201" s="35">
        <f>Sheet2!G202</f>
        <v>4226000</v>
      </c>
      <c r="G201" s="12">
        <f>Sheet2!J202</f>
        <v>90517646.296000004</v>
      </c>
      <c r="H201" s="21">
        <f>Sheet2!R202</f>
        <v>25154503.682</v>
      </c>
      <c r="I201" s="21">
        <f>Sheet2!AH202</f>
        <v>61867897.938000008</v>
      </c>
      <c r="J201" s="12">
        <f>Sheet2!AQ202</f>
        <v>46122475.783999994</v>
      </c>
      <c r="K201" s="12">
        <f>Sheet2!AT202</f>
        <v>28649748.357999995</v>
      </c>
      <c r="L201" s="21">
        <f>Sheet2!AV202</f>
        <v>0</v>
      </c>
    </row>
    <row r="202" spans="1:12" x14ac:dyDescent="0.25">
      <c r="A202" s="46" t="e">
        <f>Sheet2!#REF!</f>
        <v>#REF!</v>
      </c>
      <c r="B202" s="46" t="e">
        <f>Sheet2!#REF!</f>
        <v>#REF!</v>
      </c>
      <c r="C202" s="46" t="e">
        <f>Sheet2!#REF!</f>
        <v>#REF!</v>
      </c>
      <c r="D202" s="46" t="e">
        <f>Sheet2!#REF!</f>
        <v>#REF!</v>
      </c>
      <c r="E202" s="46" t="e">
        <f>Sheet2!#REF!</f>
        <v>#REF!</v>
      </c>
      <c r="F202" s="35" t="e">
        <f>Sheet2!#REF!</f>
        <v>#REF!</v>
      </c>
      <c r="G202" s="12" t="e">
        <f>Sheet2!#REF!</f>
        <v>#REF!</v>
      </c>
      <c r="H202" s="21" t="e">
        <f>Sheet2!#REF!</f>
        <v>#REF!</v>
      </c>
      <c r="I202" s="21" t="e">
        <f>Sheet2!#REF!</f>
        <v>#REF!</v>
      </c>
      <c r="J202" s="12" t="e">
        <f>Sheet2!#REF!</f>
        <v>#REF!</v>
      </c>
      <c r="K202" s="12" t="e">
        <f>Sheet2!#REF!</f>
        <v>#REF!</v>
      </c>
      <c r="L202" s="21" t="e">
        <f>Sheet2!#REF!</f>
        <v>#REF!</v>
      </c>
    </row>
    <row r="203" spans="1:12" x14ac:dyDescent="0.25">
      <c r="A203" s="46" t="str">
        <f>Sheet2!A203</f>
        <v>Caribbean</v>
      </c>
      <c r="B203" s="46" t="str">
        <f>Sheet2!C203</f>
        <v>Virgin Islands Port Authority (Cyril E King Airport)</v>
      </c>
      <c r="C203" s="46" t="str">
        <f>Sheet2!D203</f>
        <v>Year Ending Sept 2018</v>
      </c>
      <c r="D203" s="46" t="str">
        <f>Sheet2!E203</f>
        <v>USD</v>
      </c>
      <c r="E203" s="46">
        <f>Sheet2!F203</f>
        <v>1</v>
      </c>
      <c r="F203" s="35">
        <f>Sheet2!G203</f>
        <v>0</v>
      </c>
      <c r="G203" s="12">
        <f>Sheet2!J203</f>
        <v>11866022</v>
      </c>
      <c r="H203" s="21">
        <f>Sheet2!R203</f>
        <v>4899597</v>
      </c>
      <c r="I203" s="21">
        <f>Sheet2!AH203</f>
        <v>9182094</v>
      </c>
      <c r="J203" s="12">
        <f>Sheet2!AQ203</f>
        <v>0</v>
      </c>
      <c r="K203" s="12">
        <f>Sheet2!AT203</f>
        <v>2683928</v>
      </c>
      <c r="L203" s="21">
        <f>Sheet2!AV203</f>
        <v>0</v>
      </c>
    </row>
    <row r="204" spans="1:12" x14ac:dyDescent="0.25">
      <c r="A204" s="46" t="str">
        <f>Sheet2!A204</f>
        <v>Caribbean</v>
      </c>
      <c r="B204" s="46" t="str">
        <f>Sheet2!C204</f>
        <v>Aerostar Airport Holdings LLC (Luis Munoz Marin International Airport)</v>
      </c>
      <c r="C204" s="46" t="str">
        <f>Sheet2!D204</f>
        <v>Year Ending Dec 2018</v>
      </c>
      <c r="D204" s="46" t="str">
        <f>Sheet2!E204</f>
        <v>USD</v>
      </c>
      <c r="E204" s="46">
        <f>Sheet2!F204</f>
        <v>1</v>
      </c>
      <c r="F204" s="35">
        <f>Sheet2!G204</f>
        <v>8270526</v>
      </c>
      <c r="G204" s="12">
        <f>Sheet2!J204</f>
        <v>122940400</v>
      </c>
      <c r="H204" s="21">
        <f>Sheet2!R204</f>
        <v>0</v>
      </c>
      <c r="I204" s="21">
        <f>Sheet2!AH204</f>
        <v>94367094</v>
      </c>
      <c r="J204" s="12">
        <f>Sheet2!AQ204</f>
        <v>0</v>
      </c>
      <c r="K204" s="12">
        <f>Sheet2!AT204</f>
        <v>28573306</v>
      </c>
      <c r="L204" s="21">
        <f>Sheet2!AV204</f>
        <v>0</v>
      </c>
    </row>
    <row r="205" spans="1:12" x14ac:dyDescent="0.25">
      <c r="A205" s="46" t="str">
        <f>Sheet2!A205</f>
        <v>Latin America</v>
      </c>
      <c r="B205" s="46" t="str">
        <f>Sheet2!C205</f>
        <v>Comisión Ejecutiva Portuaria Autónoma (Mosenor Romero Airport)</v>
      </c>
      <c r="C205" s="46" t="str">
        <f>Sheet2!D205</f>
        <v>Year Ending Dec 2016</v>
      </c>
      <c r="D205" s="46" t="str">
        <f>Sheet2!E205</f>
        <v>USD</v>
      </c>
      <c r="E205" s="46">
        <f>Sheet2!F205</f>
        <v>1</v>
      </c>
      <c r="F205" s="35">
        <f>Sheet2!G205</f>
        <v>2900000</v>
      </c>
      <c r="G205" s="12">
        <f>Sheet2!J205</f>
        <v>11377544.710000001</v>
      </c>
      <c r="H205" s="21">
        <f>Sheet2!R205</f>
        <v>3787544.7100000009</v>
      </c>
      <c r="I205" s="21">
        <f>Sheet2!AH205</f>
        <v>0</v>
      </c>
      <c r="J205" s="12">
        <f>Sheet2!AQ205</f>
        <v>0</v>
      </c>
      <c r="K205" s="12">
        <f>Sheet2!AT205</f>
        <v>0</v>
      </c>
      <c r="L205" s="21">
        <f>Sheet2!AV205</f>
        <v>0</v>
      </c>
    </row>
    <row r="206" spans="1:12" x14ac:dyDescent="0.25">
      <c r="A206" s="46" t="str">
        <f>Sheet2!A206</f>
        <v>Latin America</v>
      </c>
      <c r="B206" s="46" t="str">
        <f>Sheet2!C206</f>
        <v>Tocumen S.A.</v>
      </c>
      <c r="C206" s="46" t="str">
        <f>Sheet2!D206</f>
        <v>Year Ending Dec 2017</v>
      </c>
      <c r="D206" s="46" t="str">
        <f>Sheet2!E206</f>
        <v>PAB</v>
      </c>
      <c r="E206" s="46">
        <f>Sheet2!F206</f>
        <v>1</v>
      </c>
      <c r="F206" s="35">
        <f>Sheet2!G206</f>
        <v>15600000</v>
      </c>
      <c r="G206" s="12">
        <f>Sheet2!J206</f>
        <v>233600000</v>
      </c>
      <c r="H206" s="21">
        <f>Sheet2!R206</f>
        <v>95700000</v>
      </c>
      <c r="I206" s="21">
        <f>Sheet2!AH206</f>
        <v>118851865</v>
      </c>
      <c r="J206" s="12">
        <f>Sheet2!AQ206</f>
        <v>132800000</v>
      </c>
      <c r="K206" s="12">
        <f>Sheet2!AT206</f>
        <v>114748135</v>
      </c>
      <c r="L206" s="21">
        <f>Sheet2!AV206</f>
        <v>65200000</v>
      </c>
    </row>
    <row r="207" spans="1:12" x14ac:dyDescent="0.25">
      <c r="A207" s="46" t="e">
        <f>Sheet2!#REF!</f>
        <v>#REF!</v>
      </c>
      <c r="B207" s="46" t="e">
        <f>Sheet2!#REF!</f>
        <v>#REF!</v>
      </c>
      <c r="C207" s="46" t="e">
        <f>Sheet2!#REF!</f>
        <v>#REF!</v>
      </c>
      <c r="D207" s="46" t="e">
        <f>Sheet2!#REF!</f>
        <v>#REF!</v>
      </c>
      <c r="E207" s="46" t="e">
        <f>Sheet2!#REF!</f>
        <v>#REF!</v>
      </c>
      <c r="F207" s="35" t="e">
        <f>Sheet2!#REF!</f>
        <v>#REF!</v>
      </c>
      <c r="G207" s="12" t="e">
        <f>Sheet2!#REF!</f>
        <v>#REF!</v>
      </c>
      <c r="H207" s="21" t="e">
        <f>Sheet2!#REF!</f>
        <v>#REF!</v>
      </c>
      <c r="I207" s="21" t="e">
        <f>Sheet2!#REF!</f>
        <v>#REF!</v>
      </c>
      <c r="J207" s="12" t="e">
        <f>Sheet2!#REF!</f>
        <v>#REF!</v>
      </c>
      <c r="K207" s="12" t="e">
        <f>Sheet2!#REF!</f>
        <v>#REF!</v>
      </c>
      <c r="L207" s="21" t="e">
        <f>Sheet2!#REF!</f>
        <v>#REF!</v>
      </c>
    </row>
    <row r="208" spans="1:12" x14ac:dyDescent="0.25">
      <c r="A208" s="46" t="str">
        <f>Sheet2!A208</f>
        <v>Latin America</v>
      </c>
      <c r="B208" s="46" t="str">
        <f>Sheet2!C208</f>
        <v>Corpac</v>
      </c>
      <c r="C208" s="46" t="str">
        <f>Sheet2!D208</f>
        <v>Year Ending Dec 2017</v>
      </c>
      <c r="D208" s="46" t="str">
        <f>Sheet2!E208</f>
        <v>SOL</v>
      </c>
      <c r="E208" s="46">
        <f>Sheet2!F208</f>
        <v>0.30674271739999998</v>
      </c>
      <c r="F208" s="35">
        <f>Sheet2!G208</f>
        <v>30663545</v>
      </c>
      <c r="G208" s="12">
        <f>Sheet2!J208</f>
        <v>394685088</v>
      </c>
      <c r="H208" s="21">
        <f>Sheet2!R208</f>
        <v>0</v>
      </c>
      <c r="I208" s="21">
        <f>Sheet2!AH208</f>
        <v>311311768</v>
      </c>
      <c r="J208" s="12">
        <f>Sheet2!AQ208</f>
        <v>133000000</v>
      </c>
      <c r="K208" s="12">
        <f>Sheet2!AT208</f>
        <v>0</v>
      </c>
      <c r="L208" s="21">
        <f>Sheet2!AV208</f>
        <v>68429182</v>
      </c>
    </row>
    <row r="209" spans="1:12" x14ac:dyDescent="0.25">
      <c r="A209" s="46" t="str">
        <f>Sheet2!A209</f>
        <v>Latin America</v>
      </c>
      <c r="B209" s="46" t="str">
        <f>Sheet2!C209</f>
        <v>Grupo Aeroportuario de la Ciudad de México</v>
      </c>
      <c r="C209" s="46" t="str">
        <f>Sheet2!D209</f>
        <v>Year Ending Dec 2017</v>
      </c>
      <c r="D209" s="46" t="str">
        <f>Sheet2!E209</f>
        <v>MXN</v>
      </c>
      <c r="E209" s="46">
        <f>Sheet2!F209</f>
        <v>5.0665987599999997E-2</v>
      </c>
      <c r="F209" s="35">
        <f>Sheet2!G209</f>
        <v>47700547</v>
      </c>
      <c r="G209" s="12">
        <f>Sheet2!J209</f>
        <v>13238302333</v>
      </c>
      <c r="H209" s="21">
        <f>Sheet2!R209</f>
        <v>3042203358</v>
      </c>
      <c r="I209" s="21">
        <f>Sheet2!AH209</f>
        <v>8409059445</v>
      </c>
      <c r="J209" s="12">
        <f>Sheet2!AQ209</f>
        <v>5901649157</v>
      </c>
      <c r="K209" s="12">
        <f>Sheet2!AT209</f>
        <v>4829242888</v>
      </c>
      <c r="L209" s="21">
        <f>Sheet2!AV209</f>
        <v>-980106933</v>
      </c>
    </row>
    <row r="210" spans="1:12" x14ac:dyDescent="0.25">
      <c r="A210" s="46" t="str">
        <f>Sheet2!A210</f>
        <v>Latin America</v>
      </c>
      <c r="B210" s="46" t="str">
        <f>Sheet2!C210</f>
        <v>Grupo Aeroportuario del Sureste</v>
      </c>
      <c r="C210" s="46" t="str">
        <f>Sheet2!D210</f>
        <v>Year Ending Dec 2018</v>
      </c>
      <c r="D210" s="46" t="str">
        <f>Sheet2!E210</f>
        <v>USD</v>
      </c>
      <c r="E210" s="46">
        <f>Sheet2!F210</f>
        <v>1</v>
      </c>
      <c r="F210" s="35">
        <f>Sheet2!G210</f>
        <v>52269000</v>
      </c>
      <c r="G210" s="12">
        <f>Sheet2!J210</f>
        <v>784835000</v>
      </c>
      <c r="H210" s="21">
        <f>Sheet2!R210</f>
        <v>281719000</v>
      </c>
      <c r="I210" s="21">
        <f>Sheet2!AH210</f>
        <v>395514000</v>
      </c>
      <c r="J210" s="12">
        <f>Sheet2!AQ210</f>
        <v>0</v>
      </c>
      <c r="K210" s="12">
        <f>Sheet2!AT210</f>
        <v>396179000</v>
      </c>
      <c r="L210" s="21">
        <f>Sheet2!AV210</f>
        <v>260749000</v>
      </c>
    </row>
    <row r="211" spans="1:12" x14ac:dyDescent="0.25">
      <c r="A211" s="46" t="str">
        <f>Sheet2!A211</f>
        <v>Latin America</v>
      </c>
      <c r="B211" s="46" t="str">
        <f>Sheet2!C211</f>
        <v>Grupo Aeroportuario Centro Norte</v>
      </c>
      <c r="C211" s="46" t="str">
        <f>Sheet2!D211</f>
        <v>Year Ending  Dec 2018</v>
      </c>
      <c r="D211" s="46" t="str">
        <f>Sheet2!E211</f>
        <v>MXN</v>
      </c>
      <c r="E211" s="46">
        <f>Sheet2!F211</f>
        <v>5.0665987599999997E-2</v>
      </c>
      <c r="F211" s="35">
        <f>Sheet2!G211</f>
        <v>21681492</v>
      </c>
      <c r="G211" s="12">
        <f>Sheet2!J211</f>
        <v>7907054000</v>
      </c>
      <c r="H211" s="21">
        <f>Sheet2!R211</f>
        <v>1625497000</v>
      </c>
      <c r="I211" s="21">
        <f>Sheet2!AH211</f>
        <v>3774518000</v>
      </c>
      <c r="J211" s="12">
        <f>Sheet2!AQ211</f>
        <v>0</v>
      </c>
      <c r="K211" s="12">
        <f>Sheet2!AT211</f>
        <v>4132536000</v>
      </c>
      <c r="L211" s="21">
        <f>Sheet2!AV211</f>
        <v>2864179000</v>
      </c>
    </row>
    <row r="212" spans="1:12" x14ac:dyDescent="0.25">
      <c r="A212" s="46" t="str">
        <f>Sheet2!A212</f>
        <v>Latin America</v>
      </c>
      <c r="B212" s="46" t="str">
        <f>Sheet2!C212</f>
        <v xml:space="preserve">Grupo Aeroportuario Del Pacifico </v>
      </c>
      <c r="C212" s="46" t="str">
        <f>Sheet2!D212</f>
        <v>Year Ending Dec 2018</v>
      </c>
      <c r="D212" s="46" t="str">
        <f>Sheet2!E212</f>
        <v>MXN</v>
      </c>
      <c r="E212" s="46">
        <f>Sheet2!F212</f>
        <v>5.0665987599999997E-2</v>
      </c>
      <c r="F212" s="35">
        <f>Sheet2!G212</f>
        <v>44948000</v>
      </c>
      <c r="G212" s="12">
        <f>Sheet2!J212</f>
        <v>14122890000</v>
      </c>
      <c r="H212" s="21">
        <f>Sheet2!R212</f>
        <v>3183532000</v>
      </c>
      <c r="I212" s="21">
        <f>Sheet2!AH212</f>
        <v>6878238000</v>
      </c>
      <c r="J212" s="12">
        <f>Sheet2!AQ212</f>
        <v>0</v>
      </c>
      <c r="K212" s="12">
        <f>Sheet2!AT212</f>
        <v>7244652000</v>
      </c>
      <c r="L212" s="21">
        <f>Sheet2!AV212</f>
        <v>5034901</v>
      </c>
    </row>
    <row r="213" spans="1:12" x14ac:dyDescent="0.25">
      <c r="A213" s="46" t="str">
        <f>Sheet2!A213</f>
        <v>Latin America</v>
      </c>
      <c r="B213" s="46" t="str">
        <f>Sheet2!C213</f>
        <v>Aeropuertos Argentina 2000 S.A</v>
      </c>
      <c r="C213" s="46" t="str">
        <f>Sheet2!D213</f>
        <v>Year Ending Dec 2018</v>
      </c>
      <c r="D213" s="46" t="str">
        <f>Sheet2!E213</f>
        <v>ARS</v>
      </c>
      <c r="E213" s="46">
        <f>Sheet2!F213</f>
        <v>5.3711535599999999E-2</v>
      </c>
      <c r="F213" s="35">
        <f>Sheet2!G213</f>
        <v>38350466</v>
      </c>
      <c r="G213" s="12">
        <f>Sheet2!J213</f>
        <v>24097584102</v>
      </c>
      <c r="H213" s="21">
        <f>Sheet2!R213</f>
        <v>10033465230</v>
      </c>
      <c r="I213" s="21">
        <f>Sheet2!AH213</f>
        <v>17183268375</v>
      </c>
      <c r="J213" s="12">
        <f>Sheet2!AQ213</f>
        <v>10272114501</v>
      </c>
      <c r="K213" s="12">
        <f>Sheet2!AT213</f>
        <v>7464400959</v>
      </c>
      <c r="L213" s="21">
        <f>Sheet2!AV213</f>
        <v>1023716997</v>
      </c>
    </row>
    <row r="214" spans="1:12" x14ac:dyDescent="0.25">
      <c r="A214" s="46" t="str">
        <f>Sheet2!A214</f>
        <v>Latin America</v>
      </c>
      <c r="B214" s="46" t="str">
        <f>Sheet2!C214</f>
        <v>Aeroportos Brasil Viracopos S.A</v>
      </c>
      <c r="C214" s="46" t="str">
        <f>Sheet2!D214</f>
        <v>Year Ending Dec 2018</v>
      </c>
      <c r="D214" s="46" t="str">
        <f>Sheet2!E214</f>
        <v>BRL</v>
      </c>
      <c r="E214" s="46">
        <f>Sheet2!F214</f>
        <v>0.30189521489999999</v>
      </c>
      <c r="F214" s="35">
        <f>Sheet2!G214</f>
        <v>0</v>
      </c>
      <c r="G214" s="12">
        <f>Sheet2!J214</f>
        <v>693267000</v>
      </c>
      <c r="H214" s="21">
        <f>Sheet2!R214</f>
        <v>0</v>
      </c>
      <c r="I214" s="21">
        <f>Sheet2!AH214</f>
        <v>129174000</v>
      </c>
      <c r="J214" s="12">
        <f>Sheet2!AQ214</f>
        <v>0</v>
      </c>
      <c r="K214" s="12">
        <f>Sheet2!AT214</f>
        <v>129174000</v>
      </c>
      <c r="L214" s="21">
        <f>Sheet2!AV214</f>
        <v>-407583000</v>
      </c>
    </row>
    <row r="215" spans="1:12" x14ac:dyDescent="0.25">
      <c r="A215" s="46" t="str">
        <f>Sheet2!A215</f>
        <v>Latin America</v>
      </c>
      <c r="B215" s="46" t="str">
        <f>Sheet2!C215</f>
        <v>Aeroporto Internacional de Guarulhos S.A.</v>
      </c>
      <c r="C215" s="46" t="str">
        <f>Sheet2!D215</f>
        <v>Year Ending Dec 2016</v>
      </c>
      <c r="D215" s="46" t="str">
        <f>Sheet2!E215</f>
        <v>BRL</v>
      </c>
      <c r="E215" s="46">
        <f>Sheet2!F215</f>
        <v>0.30720078639999998</v>
      </c>
      <c r="F215" s="35">
        <f>Sheet2!G215</f>
        <v>36600000</v>
      </c>
      <c r="G215" s="12">
        <f>Sheet2!J215</f>
        <v>1881000000</v>
      </c>
      <c r="H215" s="21">
        <f>Sheet2!R215</f>
        <v>911400000</v>
      </c>
      <c r="I215" s="21">
        <f>Sheet2!AH215</f>
        <v>0</v>
      </c>
      <c r="J215" s="12">
        <f>Sheet2!AQ215</f>
        <v>978900000</v>
      </c>
      <c r="K215" s="12">
        <f>Sheet2!AT215</f>
        <v>0</v>
      </c>
      <c r="L215" s="21">
        <f>Sheet2!AV215</f>
        <v>-694700000</v>
      </c>
    </row>
    <row r="216" spans="1:12" x14ac:dyDescent="0.25">
      <c r="A216" s="46" t="str">
        <f>Sheet2!A216</f>
        <v>Latin America</v>
      </c>
      <c r="B216" s="46" t="str">
        <f>Sheet2!C216</f>
        <v>Aeroporto Rio de Janeiro S/A</v>
      </c>
      <c r="C216" s="46" t="str">
        <f>Sheet2!D216</f>
        <v xml:space="preserve"> </v>
      </c>
      <c r="D216" s="46" t="str">
        <f>Sheet2!E216</f>
        <v>BRL</v>
      </c>
      <c r="E216" s="46">
        <f>Sheet2!F216</f>
        <v>0.30720078639999998</v>
      </c>
      <c r="F216" s="35">
        <f>Sheet2!G216</f>
        <v>42200000</v>
      </c>
      <c r="G216" s="12">
        <f>Sheet2!J216</f>
        <v>2313700000</v>
      </c>
      <c r="H216" s="21">
        <f>Sheet2!R216</f>
        <v>990200000</v>
      </c>
      <c r="I216" s="21">
        <f>Sheet2!AH216</f>
        <v>407700000</v>
      </c>
      <c r="J216" s="12">
        <f>Sheet2!AQ216</f>
        <v>1390200000</v>
      </c>
      <c r="K216" s="12">
        <f>Sheet2!AT216</f>
        <v>0</v>
      </c>
      <c r="L216" s="21">
        <f>Sheet2!AV216</f>
        <v>939600000</v>
      </c>
    </row>
    <row r="217" spans="1:12" x14ac:dyDescent="0.25">
      <c r="A217" s="46" t="str">
        <f>Sheet2!A217</f>
        <v>Latin America</v>
      </c>
      <c r="B217" s="46" t="str">
        <f>Sheet2!C217</f>
        <v>Aeroporto Internacional de Confins S.A.</v>
      </c>
      <c r="C217" s="46" t="str">
        <f>Sheet2!D217</f>
        <v>Year Ending Dec 2017</v>
      </c>
      <c r="D217" s="46" t="str">
        <f>Sheet2!E217</f>
        <v>BRL</v>
      </c>
      <c r="E217" s="46">
        <f>Sheet2!F217</f>
        <v>0.30189521489999999</v>
      </c>
      <c r="F217" s="35">
        <f>Sheet2!G217</f>
        <v>10164000</v>
      </c>
      <c r="G217" s="12">
        <f>Sheet2!J217</f>
        <v>325654000</v>
      </c>
      <c r="H217" s="21">
        <f>Sheet2!R217</f>
        <v>135101000</v>
      </c>
      <c r="I217" s="21">
        <f>Sheet2!AH217</f>
        <v>342859000</v>
      </c>
      <c r="J217" s="12">
        <f>Sheet2!AQ217</f>
        <v>16591000</v>
      </c>
      <c r="K217" s="12">
        <f>Sheet2!AT217</f>
        <v>-17205000</v>
      </c>
      <c r="L217" s="21">
        <f>Sheet2!AV217</f>
        <v>-77189000</v>
      </c>
    </row>
    <row r="218" spans="1:12" x14ac:dyDescent="0.25">
      <c r="A218" s="46" t="str">
        <f>Sheet2!A218</f>
        <v>Latin America</v>
      </c>
      <c r="B218" s="46" t="str">
        <f>Sheet2!C218</f>
        <v>Infraero (Core Business)</v>
      </c>
      <c r="C218" s="46" t="str">
        <f>Sheet2!D218</f>
        <v>Year Ending Dec 2017</v>
      </c>
      <c r="D218" s="46" t="str">
        <f>Sheet2!E218</f>
        <v>BRL</v>
      </c>
      <c r="E218" s="46">
        <f>Sheet2!F218</f>
        <v>0.30720078639999998</v>
      </c>
      <c r="F218" s="35">
        <f>Sheet2!G218</f>
        <v>108600000</v>
      </c>
      <c r="G218" s="12">
        <f>Sheet2!J218</f>
        <v>3088800000</v>
      </c>
      <c r="H218" s="21">
        <f>Sheet2!R218</f>
        <v>0</v>
      </c>
      <c r="I218" s="21">
        <f>Sheet2!AH218</f>
        <v>2520400000</v>
      </c>
      <c r="J218" s="12">
        <f>Sheet2!AQ218</f>
        <v>552900000</v>
      </c>
      <c r="K218" s="12">
        <f>Sheet2!AT218</f>
        <v>568400000</v>
      </c>
      <c r="L218" s="21">
        <f>Sheet2!AV218</f>
        <v>461500000</v>
      </c>
    </row>
    <row r="219" spans="1:12" x14ac:dyDescent="0.25">
      <c r="A219" s="46" t="e">
        <f>Sheet2!#REF!</f>
        <v>#REF!</v>
      </c>
      <c r="B219" s="46" t="e">
        <f>Sheet2!#REF!</f>
        <v>#REF!</v>
      </c>
      <c r="C219" s="46" t="e">
        <f>Sheet2!#REF!</f>
        <v>#REF!</v>
      </c>
      <c r="D219" s="46" t="e">
        <f>Sheet2!#REF!</f>
        <v>#REF!</v>
      </c>
      <c r="E219" s="46" t="e">
        <f>Sheet2!#REF!</f>
        <v>#REF!</v>
      </c>
      <c r="F219" s="35" t="e">
        <f>Sheet2!#REF!</f>
        <v>#REF!</v>
      </c>
      <c r="G219" s="12" t="e">
        <f>Sheet2!#REF!</f>
        <v>#REF!</v>
      </c>
      <c r="H219" s="21" t="e">
        <f>Sheet2!#REF!</f>
        <v>#REF!</v>
      </c>
      <c r="I219" s="21" t="e">
        <f>Sheet2!#REF!</f>
        <v>#REF!</v>
      </c>
      <c r="J219" s="12" t="e">
        <f>Sheet2!#REF!</f>
        <v>#REF!</v>
      </c>
      <c r="K219" s="12" t="e">
        <f>Sheet2!#REF!</f>
        <v>#REF!</v>
      </c>
      <c r="L219" s="21" t="e">
        <f>Sheet2!#REF!</f>
        <v>#REF!</v>
      </c>
    </row>
    <row r="220" spans="1:12" x14ac:dyDescent="0.25">
      <c r="A220" s="46" t="e">
        <f>Sheet2!#REF!</f>
        <v>#REF!</v>
      </c>
      <c r="B220" s="46" t="e">
        <f>Sheet2!#REF!</f>
        <v>#REF!</v>
      </c>
      <c r="C220" s="46" t="e">
        <f>Sheet2!#REF!</f>
        <v>#REF!</v>
      </c>
      <c r="D220" s="46" t="e">
        <f>Sheet2!#REF!</f>
        <v>#REF!</v>
      </c>
      <c r="E220" s="46" t="e">
        <f>Sheet2!#REF!</f>
        <v>#REF!</v>
      </c>
      <c r="F220" s="35" t="e">
        <f>Sheet2!#REF!</f>
        <v>#REF!</v>
      </c>
      <c r="G220" s="12" t="e">
        <f>Sheet2!#REF!</f>
        <v>#REF!</v>
      </c>
      <c r="H220" s="21" t="e">
        <f>Sheet2!#REF!</f>
        <v>#REF!</v>
      </c>
      <c r="I220" s="21" t="e">
        <f>Sheet2!#REF!</f>
        <v>#REF!</v>
      </c>
      <c r="J220" s="12" t="e">
        <f>Sheet2!#REF!</f>
        <v>#REF!</v>
      </c>
      <c r="K220" s="12" t="e">
        <f>Sheet2!#REF!</f>
        <v>#REF!</v>
      </c>
      <c r="L220" s="21" t="e">
        <f>Sheet2!#REF!</f>
        <v>#REF!</v>
      </c>
    </row>
    <row r="221" spans="1:12" x14ac:dyDescent="0.25">
      <c r="A221" s="46" t="e">
        <f>Sheet2!#REF!</f>
        <v>#REF!</v>
      </c>
      <c r="B221" s="46" t="e">
        <f>Sheet2!#REF!</f>
        <v>#REF!</v>
      </c>
      <c r="C221" s="46" t="e">
        <f>Sheet2!#REF!</f>
        <v>#REF!</v>
      </c>
      <c r="D221" s="46" t="e">
        <f>Sheet2!#REF!</f>
        <v>#REF!</v>
      </c>
      <c r="E221" s="46" t="e">
        <f>Sheet2!#REF!</f>
        <v>#REF!</v>
      </c>
      <c r="F221" s="35" t="e">
        <f>Sheet2!#REF!</f>
        <v>#REF!</v>
      </c>
      <c r="G221" s="12" t="e">
        <f>Sheet2!#REF!</f>
        <v>#REF!</v>
      </c>
      <c r="H221" s="21" t="e">
        <f>Sheet2!#REF!</f>
        <v>#REF!</v>
      </c>
      <c r="I221" s="21" t="e">
        <f>Sheet2!#REF!</f>
        <v>#REF!</v>
      </c>
      <c r="J221" s="12" t="e">
        <f>Sheet2!#REF!</f>
        <v>#REF!</v>
      </c>
      <c r="K221" s="12" t="e">
        <f>Sheet2!#REF!</f>
        <v>#REF!</v>
      </c>
      <c r="L221" s="21" t="e">
        <f>Sheet2!#REF!</f>
        <v>#REF!</v>
      </c>
    </row>
    <row r="222" spans="1:12" x14ac:dyDescent="0.25">
      <c r="A222" s="46" t="e">
        <f>Sheet2!#REF!</f>
        <v>#REF!</v>
      </c>
      <c r="B222" s="46" t="e">
        <f>Sheet2!#REF!</f>
        <v>#REF!</v>
      </c>
      <c r="C222" s="46" t="e">
        <f>Sheet2!#REF!</f>
        <v>#REF!</v>
      </c>
      <c r="D222" s="46" t="e">
        <f>Sheet2!#REF!</f>
        <v>#REF!</v>
      </c>
      <c r="E222" s="46" t="e">
        <f>Sheet2!#REF!</f>
        <v>#REF!</v>
      </c>
      <c r="F222" s="35" t="e">
        <f>Sheet2!#REF!</f>
        <v>#REF!</v>
      </c>
      <c r="G222" s="12" t="e">
        <f>Sheet2!#REF!</f>
        <v>#REF!</v>
      </c>
      <c r="H222" s="21" t="e">
        <f>Sheet2!#REF!</f>
        <v>#REF!</v>
      </c>
      <c r="I222" s="21" t="e">
        <f>Sheet2!#REF!</f>
        <v>#REF!</v>
      </c>
      <c r="J222" s="12" t="e">
        <f>Sheet2!#REF!</f>
        <v>#REF!</v>
      </c>
      <c r="K222" s="12" t="e">
        <f>Sheet2!#REF!</f>
        <v>#REF!</v>
      </c>
      <c r="L222" s="21" t="e">
        <f>Sheet2!#REF!</f>
        <v>#REF!</v>
      </c>
    </row>
    <row r="223" spans="1:12" x14ac:dyDescent="0.25">
      <c r="A223" s="46" t="e">
        <f>Sheet2!#REF!</f>
        <v>#REF!</v>
      </c>
      <c r="B223" s="46" t="e">
        <f>Sheet2!#REF!</f>
        <v>#REF!</v>
      </c>
      <c r="C223" s="46" t="e">
        <f>Sheet2!#REF!</f>
        <v>#REF!</v>
      </c>
      <c r="D223" s="46" t="e">
        <f>Sheet2!#REF!</f>
        <v>#REF!</v>
      </c>
      <c r="E223" s="46" t="e">
        <f>Sheet2!#REF!</f>
        <v>#REF!</v>
      </c>
      <c r="F223" s="35" t="e">
        <f>Sheet2!#REF!</f>
        <v>#REF!</v>
      </c>
      <c r="G223" s="12" t="e">
        <f>Sheet2!#REF!</f>
        <v>#REF!</v>
      </c>
      <c r="H223" s="21" t="e">
        <f>Sheet2!#REF!</f>
        <v>#REF!</v>
      </c>
      <c r="I223" s="21" t="e">
        <f>Sheet2!#REF!</f>
        <v>#REF!</v>
      </c>
      <c r="J223" s="12" t="e">
        <f>Sheet2!#REF!</f>
        <v>#REF!</v>
      </c>
      <c r="K223" s="12" t="e">
        <f>Sheet2!#REF!</f>
        <v>#REF!</v>
      </c>
      <c r="L223" s="21" t="e">
        <f>Sheet2!#REF!</f>
        <v>#REF!</v>
      </c>
    </row>
    <row r="224" spans="1:12" x14ac:dyDescent="0.25">
      <c r="A224" s="46" t="e">
        <f>Sheet2!#REF!</f>
        <v>#REF!</v>
      </c>
      <c r="B224" s="46" t="e">
        <f>Sheet2!#REF!</f>
        <v>#REF!</v>
      </c>
      <c r="C224" s="46" t="e">
        <f>Sheet2!#REF!</f>
        <v>#REF!</v>
      </c>
      <c r="D224" s="46" t="e">
        <f>Sheet2!#REF!</f>
        <v>#REF!</v>
      </c>
      <c r="E224" s="46" t="e">
        <f>Sheet2!#REF!</f>
        <v>#REF!</v>
      </c>
      <c r="F224" s="35" t="e">
        <f>Sheet2!#REF!</f>
        <v>#REF!</v>
      </c>
      <c r="G224" s="12" t="e">
        <f>Sheet2!#REF!</f>
        <v>#REF!</v>
      </c>
      <c r="H224" s="21" t="e">
        <f>Sheet2!#REF!</f>
        <v>#REF!</v>
      </c>
      <c r="I224" s="21" t="e">
        <f>Sheet2!#REF!</f>
        <v>#REF!</v>
      </c>
      <c r="J224" s="12" t="e">
        <f>Sheet2!#REF!</f>
        <v>#REF!</v>
      </c>
      <c r="K224" s="12" t="e">
        <f>Sheet2!#REF!</f>
        <v>#REF!</v>
      </c>
      <c r="L224" s="21" t="e">
        <f>Sheet2!#REF!</f>
        <v>#REF!</v>
      </c>
    </row>
    <row r="225" spans="1:12" x14ac:dyDescent="0.25">
      <c r="A225" s="46" t="e">
        <f>Sheet2!#REF!</f>
        <v>#REF!</v>
      </c>
      <c r="B225" s="46" t="e">
        <f>Sheet2!#REF!</f>
        <v>#REF!</v>
      </c>
      <c r="C225" s="46" t="e">
        <f>Sheet2!#REF!</f>
        <v>#REF!</v>
      </c>
      <c r="D225" s="46" t="e">
        <f>Sheet2!#REF!</f>
        <v>#REF!</v>
      </c>
      <c r="E225" s="46" t="e">
        <f>Sheet2!#REF!</f>
        <v>#REF!</v>
      </c>
      <c r="F225" s="35" t="e">
        <f>Sheet2!#REF!</f>
        <v>#REF!</v>
      </c>
      <c r="G225" s="12" t="e">
        <f>Sheet2!#REF!</f>
        <v>#REF!</v>
      </c>
      <c r="H225" s="21" t="e">
        <f>Sheet2!#REF!</f>
        <v>#REF!</v>
      </c>
      <c r="I225" s="21" t="e">
        <f>Sheet2!#REF!</f>
        <v>#REF!</v>
      </c>
      <c r="J225" s="12" t="e">
        <f>Sheet2!#REF!</f>
        <v>#REF!</v>
      </c>
      <c r="K225" s="12" t="e">
        <f>Sheet2!#REF!</f>
        <v>#REF!</v>
      </c>
      <c r="L225" s="21" t="e">
        <f>Sheet2!#REF!</f>
        <v>#REF!</v>
      </c>
    </row>
    <row r="226" spans="1:12" x14ac:dyDescent="0.25">
      <c r="A226" s="46" t="str">
        <f>Sheet2!A219</f>
        <v>Latin America</v>
      </c>
      <c r="B226" s="46" t="str">
        <f>Sheet2!C219</f>
        <v xml:space="preserve">NUEVO PUDAHUEL S.A. </v>
      </c>
      <c r="C226" s="46" t="str">
        <f>Sheet2!D219</f>
        <v>Year Ending Dec 2018</v>
      </c>
      <c r="D226" s="46" t="str">
        <f>Sheet2!E219</f>
        <v>CLP</v>
      </c>
      <c r="E226" s="46">
        <f>Sheet2!F219</f>
        <v>1.6249592999999999E-3</v>
      </c>
      <c r="F226" s="35">
        <f>Sheet2!G219</f>
        <v>23324306</v>
      </c>
      <c r="G226" s="12">
        <f>Sheet2!J219</f>
        <v>205754379000</v>
      </c>
      <c r="H226" s="21">
        <f>Sheet2!R219</f>
        <v>55840315000</v>
      </c>
      <c r="I226" s="21">
        <f>Sheet2!AH219</f>
        <v>31511965000</v>
      </c>
      <c r="J226" s="12">
        <f>Sheet2!AQ219</f>
        <v>0</v>
      </c>
      <c r="K226" s="12">
        <f>Sheet2!AT219</f>
        <v>0</v>
      </c>
      <c r="L226" s="21">
        <f>Sheet2!AV219</f>
        <v>-3066229000</v>
      </c>
    </row>
    <row r="227" spans="1:12" x14ac:dyDescent="0.25">
      <c r="A227" s="46" t="str">
        <f>Sheet2!A220</f>
        <v>Latin America</v>
      </c>
      <c r="B227" s="46" t="str">
        <f>Sheet2!C220</f>
        <v>Aeroportuario de Calama S.A</v>
      </c>
      <c r="C227" s="46" t="str">
        <f>Sheet2!D220</f>
        <v>Year Ending Dec 2018</v>
      </c>
      <c r="D227" s="46" t="str">
        <f>Sheet2!E220</f>
        <v>CLP</v>
      </c>
      <c r="E227" s="46">
        <f>Sheet2!F220</f>
        <v>1.6249592999999999E-3</v>
      </c>
      <c r="F227" s="35">
        <f>Sheet2!G220</f>
        <v>0</v>
      </c>
      <c r="G227" s="12">
        <f>Sheet2!J220</f>
        <v>7084543000</v>
      </c>
      <c r="H227" s="21">
        <f>Sheet2!R220</f>
        <v>1781362000</v>
      </c>
      <c r="I227" s="21">
        <f>Sheet2!AH220</f>
        <v>7691635000</v>
      </c>
      <c r="J227" s="12">
        <f>Sheet2!AQ220</f>
        <v>0</v>
      </c>
      <c r="K227" s="12">
        <f>Sheet2!AT220</f>
        <v>-607092000</v>
      </c>
      <c r="L227" s="21">
        <f>Sheet2!AV220</f>
        <v>-642900000</v>
      </c>
    </row>
    <row r="228" spans="1:12" x14ac:dyDescent="0.25">
      <c r="A228" s="46" t="str">
        <f>Sheet2!A221</f>
        <v>Latin America</v>
      </c>
      <c r="B228" s="46" t="str">
        <f>Sheet2!C221</f>
        <v>Sociedad Concesionaria Aeropuerto de Magallenes Regional de Atacama S.A</v>
      </c>
      <c r="C228" s="46" t="str">
        <f>Sheet2!D221</f>
        <v>Year Ending Dec 2018</v>
      </c>
      <c r="D228" s="46" t="str">
        <f>Sheet2!E221</f>
        <v>CLP</v>
      </c>
      <c r="E228" s="46">
        <f>Sheet2!F221</f>
        <v>1.6249592999999999E-3</v>
      </c>
      <c r="F228" s="35">
        <f>Sheet2!G221</f>
        <v>4061400</v>
      </c>
      <c r="G228" s="12">
        <f>Sheet2!J221</f>
        <v>2805248000</v>
      </c>
      <c r="H228" s="21">
        <f>Sheet2!R221</f>
        <v>774548000</v>
      </c>
      <c r="I228" s="21">
        <f>Sheet2!AH221</f>
        <v>766626000</v>
      </c>
      <c r="J228" s="12">
        <f>Sheet2!AQ221</f>
        <v>0</v>
      </c>
      <c r="K228" s="12">
        <f>Sheet2!AT221</f>
        <v>0</v>
      </c>
      <c r="L228" s="21">
        <f>Sheet2!AV221</f>
        <v>1613829000</v>
      </c>
    </row>
    <row r="229" spans="1:12" x14ac:dyDescent="0.25">
      <c r="A229" s="46" t="str">
        <f>Sheet2!A222</f>
        <v>Latin America</v>
      </c>
      <c r="B229" s="46" t="str">
        <f>Sheet2!C222</f>
        <v xml:space="preserve">Sociedad Concesionaria Aeropuerto Araucanía S.A. </v>
      </c>
      <c r="C229" s="46" t="str">
        <f>Sheet2!D222</f>
        <v>Year Ending Dec 2018</v>
      </c>
      <c r="D229" s="46" t="str">
        <f>Sheet2!E222</f>
        <v>CLP</v>
      </c>
      <c r="E229" s="46">
        <f>Sheet2!F222</f>
        <v>1.6249592999999999E-3</v>
      </c>
      <c r="F229" s="35">
        <f>Sheet2!G222</f>
        <v>919366</v>
      </c>
      <c r="G229" s="12">
        <f>Sheet2!J222</f>
        <v>3899980000</v>
      </c>
      <c r="H229" s="21">
        <f>Sheet2!R222</f>
        <v>0</v>
      </c>
      <c r="I229" s="21">
        <f>Sheet2!AH222</f>
        <v>1237819000</v>
      </c>
      <c r="J229" s="12">
        <f>Sheet2!AQ222</f>
        <v>0</v>
      </c>
      <c r="K229" s="12">
        <f>Sheet2!AT222</f>
        <v>0</v>
      </c>
      <c r="L229" s="21">
        <f>Sheet2!AV222</f>
        <v>6926139000</v>
      </c>
    </row>
    <row r="230" spans="1:12" x14ac:dyDescent="0.25">
      <c r="A230" s="46" t="str">
        <f>Sheet2!A223</f>
        <v>Latin America</v>
      </c>
      <c r="B230" s="46" t="str">
        <f>Sheet2!C223</f>
        <v>Odinsa (El Dorado International Airport)</v>
      </c>
      <c r="C230" s="46" t="str">
        <f>Sheet2!D223</f>
        <v>Year Ending Dec 2018</v>
      </c>
      <c r="D230" s="46" t="str">
        <f>Sheet2!E223</f>
        <v>COP</v>
      </c>
      <c r="E230" s="46">
        <f>Sheet2!F223</f>
        <v>3.3533219999999999E-4</v>
      </c>
      <c r="F230" s="35">
        <f>Sheet2!G223</f>
        <v>32700000</v>
      </c>
      <c r="G230" s="12">
        <f>Sheet2!J223</f>
        <v>1051619000000</v>
      </c>
      <c r="H230" s="21">
        <f>Sheet2!R223</f>
        <v>0</v>
      </c>
      <c r="I230" s="21">
        <f>Sheet2!AH223</f>
        <v>0</v>
      </c>
      <c r="J230" s="12">
        <f>Sheet2!AQ223</f>
        <v>370480000000</v>
      </c>
      <c r="K230" s="12">
        <f>Sheet2!AT223</f>
        <v>0</v>
      </c>
      <c r="L230" s="21">
        <f>Sheet2!AV223</f>
        <v>121373000000</v>
      </c>
    </row>
    <row r="231" spans="1:12" x14ac:dyDescent="0.25">
      <c r="A231" s="46" t="str">
        <f>Sheet2!A224</f>
        <v>Latin America</v>
      </c>
      <c r="B231" s="46" t="str">
        <f>Sheet2!C224</f>
        <v>Odinsa (Quito International Airport)</v>
      </c>
      <c r="C231" s="46" t="str">
        <f>Sheet2!D224</f>
        <v>Year Ending Dec 2018</v>
      </c>
      <c r="D231" s="46" t="str">
        <f>Sheet2!E224</f>
        <v>USD</v>
      </c>
      <c r="E231" s="46">
        <f>Sheet2!F224</f>
        <v>1</v>
      </c>
      <c r="F231" s="35">
        <f>Sheet2!G224</f>
        <v>5300000</v>
      </c>
      <c r="G231" s="12">
        <f>Sheet2!J224</f>
        <v>172000000</v>
      </c>
      <c r="H231" s="21">
        <f>Sheet2!R224</f>
        <v>0</v>
      </c>
      <c r="I231" s="21">
        <f>Sheet2!AH224</f>
        <v>0</v>
      </c>
      <c r="J231" s="12">
        <f>Sheet2!AQ224</f>
        <v>111000000</v>
      </c>
      <c r="K231" s="12">
        <f>Sheet2!AT224</f>
        <v>0</v>
      </c>
      <c r="L231" s="21">
        <f>Sheet2!AV224</f>
        <v>57000000</v>
      </c>
    </row>
    <row r="232" spans="1:12" x14ac:dyDescent="0.25">
      <c r="A232" s="46" t="str">
        <f>Sheet2!A225</f>
        <v>Latin America</v>
      </c>
      <c r="B232" s="46" t="str">
        <f>Sheet2!C225</f>
        <v>Guayaquil International Airport</v>
      </c>
      <c r="C232" s="46" t="str">
        <f>Sheet2!D225</f>
        <v>Year Ending Dec 2016</v>
      </c>
      <c r="D232" s="46" t="str">
        <f>Sheet2!E225</f>
        <v>USD</v>
      </c>
      <c r="E232" s="46">
        <f>Sheet2!F225</f>
        <v>1</v>
      </c>
      <c r="F232" s="35">
        <f>Sheet2!G225</f>
        <v>3749467</v>
      </c>
      <c r="G232" s="12">
        <f>Sheet2!J225</f>
        <v>84399000</v>
      </c>
      <c r="H232" s="21">
        <f>Sheet2!R225</f>
        <v>22787730</v>
      </c>
      <c r="I232" s="21">
        <f>Sheet2!AH225</f>
        <v>62166000</v>
      </c>
      <c r="J232" s="12">
        <f>Sheet2!AQ225</f>
        <v>0</v>
      </c>
      <c r="K232" s="12">
        <f>Sheet2!AT225</f>
        <v>22233000</v>
      </c>
      <c r="L232" s="21">
        <f>Sheet2!AV225</f>
        <v>16875000</v>
      </c>
    </row>
    <row r="233" spans="1:12" x14ac:dyDescent="0.25">
      <c r="A233" s="46" t="str">
        <f>Sheet2!A226</f>
        <v>Latin America</v>
      </c>
      <c r="B233" s="46" t="str">
        <f>Sheet2!C226</f>
        <v>Cheddi Jagan International Airport (CJIA) Corporation</v>
      </c>
      <c r="C233" s="46" t="str">
        <f>Sheet2!D226</f>
        <v>Year Ending Dec 2016</v>
      </c>
      <c r="D233" s="46" t="str">
        <f>Sheet2!E226</f>
        <v>GYD</v>
      </c>
      <c r="E233" s="46">
        <f>Sheet2!F226</f>
        <v>4.9111090000000003E-3</v>
      </c>
      <c r="F233" s="35">
        <f>Sheet2!G226</f>
        <v>572000</v>
      </c>
      <c r="G233" s="12">
        <f>Sheet2!J226</f>
        <v>400000000</v>
      </c>
      <c r="H233" s="21">
        <f>Sheet2!R226</f>
        <v>0</v>
      </c>
      <c r="I233" s="21">
        <f>Sheet2!AH226</f>
        <v>0</v>
      </c>
      <c r="J233" s="12">
        <f>Sheet2!AQ226</f>
        <v>0</v>
      </c>
      <c r="K233" s="12">
        <f>Sheet2!AT226</f>
        <v>0</v>
      </c>
      <c r="L233" s="21">
        <f>Sheet2!AV226</f>
        <v>0</v>
      </c>
    </row>
    <row r="234" spans="1:12" x14ac:dyDescent="0.25">
      <c r="A234" s="46" t="str">
        <f>Sheet2!A227</f>
        <v>Latin America</v>
      </c>
      <c r="B234" s="46" t="str">
        <f>Sheet2!C227</f>
        <v>Puerta Del Sur (Carrasco Aiport)</v>
      </c>
      <c r="C234" s="46" t="str">
        <f>Sheet2!D227</f>
        <v>Year Ending  Dec 2018</v>
      </c>
      <c r="D234" s="46" t="str">
        <f>Sheet2!E227</f>
        <v>USD</v>
      </c>
      <c r="E234" s="46">
        <f>Sheet2!F227</f>
        <v>1</v>
      </c>
      <c r="F234" s="35">
        <f>Sheet2!G227</f>
        <v>0</v>
      </c>
      <c r="G234" s="12">
        <f>Sheet2!J227</f>
        <v>95359936</v>
      </c>
      <c r="H234" s="21">
        <f>Sheet2!R227</f>
        <v>39806097</v>
      </c>
      <c r="I234" s="21">
        <f>Sheet2!AH227</f>
        <v>56843617</v>
      </c>
      <c r="J234" s="12">
        <f>Sheet2!AQ227</f>
        <v>0</v>
      </c>
      <c r="K234" s="12">
        <f>Sheet2!AT227</f>
        <v>38581701</v>
      </c>
      <c r="L234" s="21">
        <f>Sheet2!AV227</f>
        <v>27036056</v>
      </c>
    </row>
    <row r="235" spans="1:12" x14ac:dyDescent="0.25">
      <c r="A235" s="46" t="str">
        <f>Sheet2!A228</f>
        <v>North America</v>
      </c>
      <c r="B235" s="46" t="str">
        <f>Sheet2!C228</f>
        <v>Aeroport de Montreal</v>
      </c>
      <c r="C235" s="46" t="str">
        <f>Sheet2!D228</f>
        <v>Year Ending Dec 2018</v>
      </c>
      <c r="D235" s="46" t="str">
        <f>Sheet2!E228</f>
        <v>CAD</v>
      </c>
      <c r="E235" s="46">
        <f>Sheet2!F228</f>
        <v>0.8</v>
      </c>
      <c r="F235" s="35">
        <f>Sheet2!G228</f>
        <v>19428143</v>
      </c>
      <c r="G235" s="12">
        <f>Sheet2!J228</f>
        <v>645021000</v>
      </c>
      <c r="H235" s="21">
        <f>Sheet2!R228</f>
        <v>201400000</v>
      </c>
      <c r="I235" s="21">
        <f>Sheet2!AH228</f>
        <v>365900000</v>
      </c>
      <c r="J235" s="12">
        <f>Sheet2!AQ228</f>
        <v>285087000</v>
      </c>
      <c r="K235" s="12">
        <f>Sheet2!AT228</f>
        <v>0</v>
      </c>
      <c r="L235" s="21">
        <f>Sheet2!AV228</f>
        <v>74282000</v>
      </c>
    </row>
    <row r="236" spans="1:12" x14ac:dyDescent="0.25">
      <c r="A236" s="46" t="str">
        <f>Sheet2!A229</f>
        <v>North America</v>
      </c>
      <c r="B236" s="46" t="str">
        <f>Sheet2!C229</f>
        <v>Greater Toronto Airports Authority</v>
      </c>
      <c r="C236" s="46" t="str">
        <f>Sheet2!D229</f>
        <v>Year Ending Dec 2018</v>
      </c>
      <c r="D236" s="46" t="str">
        <f>Sheet2!E229</f>
        <v>CAD</v>
      </c>
      <c r="E236" s="46">
        <f>Sheet2!F229</f>
        <v>0.8</v>
      </c>
      <c r="F236" s="35">
        <f>Sheet2!G229</f>
        <v>49500000</v>
      </c>
      <c r="G236" s="12">
        <f>Sheet2!J229</f>
        <v>1471100000</v>
      </c>
      <c r="H236" s="21">
        <f>Sheet2!R229</f>
        <v>501900000</v>
      </c>
      <c r="I236" s="21">
        <f>Sheet2!AH229</f>
        <v>1028100000</v>
      </c>
      <c r="J236" s="12">
        <f>Sheet2!AQ229</f>
        <v>720600000</v>
      </c>
      <c r="K236" s="12">
        <f>Sheet2!AT229</f>
        <v>443600000</v>
      </c>
      <c r="L236" s="21">
        <f>Sheet2!AV229</f>
        <v>113700000</v>
      </c>
    </row>
    <row r="237" spans="1:12" x14ac:dyDescent="0.25">
      <c r="A237" s="46" t="str">
        <f>Sheet2!A230</f>
        <v>North America</v>
      </c>
      <c r="B237" s="46" t="str">
        <f>Sheet2!C230</f>
        <v>Vancouver Airport Authority</v>
      </c>
      <c r="C237" s="46" t="str">
        <f>Sheet2!D230</f>
        <v>Year Ending Dec 2018</v>
      </c>
      <c r="D237" s="46" t="str">
        <f>Sheet2!E230</f>
        <v>CAD</v>
      </c>
      <c r="E237" s="46">
        <f>Sheet2!F230</f>
        <v>0.8</v>
      </c>
      <c r="F237" s="35">
        <f>Sheet2!G230</f>
        <v>25900000</v>
      </c>
      <c r="G237" s="12">
        <f>Sheet2!J230</f>
        <v>565100000</v>
      </c>
      <c r="H237" s="21">
        <f>Sheet2!R230</f>
        <v>249800000</v>
      </c>
      <c r="I237" s="21">
        <f>Sheet2!AH230</f>
        <v>378091000</v>
      </c>
      <c r="J237" s="12">
        <f>Sheet2!AQ230</f>
        <v>0</v>
      </c>
      <c r="K237" s="12">
        <f>Sheet2!AT230</f>
        <v>0</v>
      </c>
      <c r="L237" s="21">
        <f>Sheet2!AV230</f>
        <v>0</v>
      </c>
    </row>
    <row r="238" spans="1:12" x14ac:dyDescent="0.25">
      <c r="A238" s="46" t="str">
        <f>Sheet2!A231</f>
        <v>North America</v>
      </c>
      <c r="B238" s="46" t="str">
        <f>Sheet2!C231</f>
        <v>Calgary Airport Authority</v>
      </c>
      <c r="C238" s="46" t="str">
        <f>Sheet2!D231</f>
        <v>Year Ending Dec 2018</v>
      </c>
      <c r="D238" s="46" t="str">
        <f>Sheet2!E231</f>
        <v>CAD</v>
      </c>
      <c r="E238" s="46">
        <f>Sheet2!F231</f>
        <v>0.8</v>
      </c>
      <c r="F238" s="35">
        <f>Sheet2!G231</f>
        <v>17300000</v>
      </c>
      <c r="G238" s="12">
        <f>Sheet2!J231</f>
        <v>421000000</v>
      </c>
      <c r="H238" s="21">
        <f>Sheet2!R231</f>
        <v>118092000</v>
      </c>
      <c r="I238" s="21">
        <f>Sheet2!AH231</f>
        <v>562681000</v>
      </c>
      <c r="J238" s="12">
        <f>Sheet2!AQ231</f>
        <v>0</v>
      </c>
      <c r="K238" s="12">
        <f>Sheet2!AT231</f>
        <v>-141797000</v>
      </c>
      <c r="L238" s="21">
        <f>Sheet2!AV231</f>
        <v>-144642000</v>
      </c>
    </row>
    <row r="239" spans="1:12" x14ac:dyDescent="0.25">
      <c r="A239" s="46" t="str">
        <f>Sheet2!A232</f>
        <v>North America</v>
      </c>
      <c r="B239" s="46" t="str">
        <f>Sheet2!C232</f>
        <v>Edmonton Airports</v>
      </c>
      <c r="C239" s="46" t="str">
        <f>Sheet2!D232</f>
        <v>Year Ending Dec 2018</v>
      </c>
      <c r="D239" s="46" t="str">
        <f>Sheet2!E232</f>
        <v>CAD</v>
      </c>
      <c r="E239" s="46">
        <f>Sheet2!F232</f>
        <v>0.8</v>
      </c>
      <c r="F239" s="35">
        <f>Sheet2!G232</f>
        <v>8254100</v>
      </c>
      <c r="G239" s="12">
        <f>Sheet2!J232</f>
        <v>233800000</v>
      </c>
      <c r="H239" s="21">
        <f>Sheet2!R232</f>
        <v>73413200</v>
      </c>
      <c r="I239" s="21">
        <f>Sheet2!AH232</f>
        <v>189977000</v>
      </c>
      <c r="J239" s="12">
        <f>Sheet2!AQ232</f>
        <v>111398000</v>
      </c>
      <c r="K239" s="12">
        <f>Sheet2!AT232</f>
        <v>0</v>
      </c>
      <c r="L239" s="21">
        <f>Sheet2!AV232</f>
        <v>0</v>
      </c>
    </row>
    <row r="240" spans="1:12" x14ac:dyDescent="0.25">
      <c r="A240" s="46" t="str">
        <f>Sheet2!A233</f>
        <v>North America</v>
      </c>
      <c r="B240" s="46" t="str">
        <f>Sheet2!C233</f>
        <v>Halifax International Airport Authority</v>
      </c>
      <c r="C240" s="46" t="str">
        <f>Sheet2!D233</f>
        <v>Year Ending Dec 2018</v>
      </c>
      <c r="D240" s="46" t="str">
        <f>Sheet2!E233</f>
        <v xml:space="preserve"> </v>
      </c>
      <c r="E240" s="46">
        <f>Sheet2!F233</f>
        <v>0.8</v>
      </c>
      <c r="F240" s="35">
        <f>Sheet2!G233</f>
        <v>4316079</v>
      </c>
      <c r="G240" s="12">
        <f>Sheet2!J233</f>
        <v>115000000</v>
      </c>
      <c r="H240" s="21">
        <f>Sheet2!R233</f>
        <v>59570000</v>
      </c>
      <c r="I240" s="21">
        <f>Sheet2!AH233</f>
        <v>99635000</v>
      </c>
      <c r="J240" s="12">
        <f>Sheet2!AQ233</f>
        <v>0</v>
      </c>
      <c r="K240" s="12">
        <f>Sheet2!AT233</f>
        <v>15365000</v>
      </c>
      <c r="L240" s="21">
        <f>Sheet2!AV233</f>
        <v>8218000</v>
      </c>
    </row>
    <row r="241" spans="1:12" x14ac:dyDescent="0.25">
      <c r="A241" s="46" t="str">
        <f>Sheet2!A234</f>
        <v>North America</v>
      </c>
      <c r="B241" s="46" t="str">
        <f>Sheet2!C234</f>
        <v>Ottawa Macdonald–Cartier International Airport Authority</v>
      </c>
      <c r="C241" s="46" t="str">
        <f>Sheet2!D234</f>
        <v>Year Ending Dec 2018</v>
      </c>
      <c r="D241" s="46" t="str">
        <f>Sheet2!E234</f>
        <v>CAD</v>
      </c>
      <c r="E241" s="46">
        <f>Sheet2!F234</f>
        <v>0.8</v>
      </c>
      <c r="F241" s="35">
        <f>Sheet2!G234</f>
        <v>5110801</v>
      </c>
      <c r="G241" s="12">
        <f>Sheet2!J235</f>
        <v>138436000</v>
      </c>
      <c r="H241" s="21">
        <f>Sheet2!R234</f>
        <v>0</v>
      </c>
      <c r="I241" s="21">
        <f>Sheet2!AH234</f>
        <v>94515000</v>
      </c>
      <c r="J241" s="12">
        <f>Sheet2!AQ234</f>
        <v>0</v>
      </c>
      <c r="K241" s="12">
        <f>Sheet2!AT234</f>
        <v>0</v>
      </c>
      <c r="L241" s="21">
        <f>Sheet2!AV234</f>
        <v>6960000</v>
      </c>
    </row>
    <row r="242" spans="1:12" x14ac:dyDescent="0.25">
      <c r="A242" s="46" t="str">
        <f>Sheet2!A235</f>
        <v>North America</v>
      </c>
      <c r="B242" s="46" t="str">
        <f>Sheet2!C235</f>
        <v xml:space="preserve">Winnipeg Airports Authority </v>
      </c>
      <c r="C242" s="46" t="str">
        <f>Sheet2!D235</f>
        <v>Year Ending Dec 2018</v>
      </c>
      <c r="D242" s="46" t="str">
        <f>Sheet2!E235</f>
        <v>CAD</v>
      </c>
      <c r="E242" s="46">
        <f>Sheet2!F235</f>
        <v>0.8</v>
      </c>
      <c r="F242" s="35">
        <f>Sheet2!G235</f>
        <v>4500000</v>
      </c>
      <c r="G242" s="12" t="e">
        <f>Sheet2!#REF!</f>
        <v>#REF!</v>
      </c>
      <c r="H242" s="21">
        <f>Sheet2!R235</f>
        <v>41485000</v>
      </c>
      <c r="I242" s="21">
        <f>Sheet2!AH235</f>
        <v>100123000</v>
      </c>
      <c r="J242" s="12">
        <f>Sheet2!AQ235</f>
        <v>68368000</v>
      </c>
      <c r="K242" s="12">
        <f>Sheet2!AT235</f>
        <v>38313000</v>
      </c>
      <c r="L242" s="21">
        <f>Sheet2!AV235</f>
        <v>5552000</v>
      </c>
    </row>
    <row r="243" spans="1:12" x14ac:dyDescent="0.25">
      <c r="A243" s="46" t="str">
        <f>Sheet2!A238</f>
        <v>North America</v>
      </c>
      <c r="B243" s="46" t="str">
        <f>Sheet2!C238</f>
        <v>Massachusetts Port Authority (Boston Logan Airport)</v>
      </c>
      <c r="C243" s="46" t="str">
        <f>Sheet2!D238</f>
        <v>Year Ending June 2018</v>
      </c>
      <c r="D243" s="46" t="str">
        <f>Sheet2!E238</f>
        <v>USD</v>
      </c>
      <c r="E243" s="46">
        <f>Sheet2!F238</f>
        <v>1</v>
      </c>
      <c r="F243" s="35">
        <f>Sheet2!G238</f>
        <v>39272426</v>
      </c>
      <c r="G243" s="12">
        <f>Sheet2!J238</f>
        <v>692935012</v>
      </c>
      <c r="H243" s="21">
        <f>Sheet2!R238</f>
        <v>692935012</v>
      </c>
      <c r="I243" s="21">
        <f>Sheet2!AH238</f>
        <v>102427889</v>
      </c>
      <c r="J243" s="12">
        <f>Sheet2!AQ238</f>
        <v>0</v>
      </c>
      <c r="K243" s="12">
        <f>Sheet2!AT238</f>
        <v>102427889</v>
      </c>
      <c r="L243" s="21">
        <f>Sheet2!AV238</f>
        <v>0</v>
      </c>
    </row>
    <row r="244" spans="1:12" x14ac:dyDescent="0.25">
      <c r="A244" s="46" t="e">
        <f>Sheet2!#REF!</f>
        <v>#REF!</v>
      </c>
      <c r="B244" s="46" t="e">
        <f>Sheet2!#REF!</f>
        <v>#REF!</v>
      </c>
      <c r="C244" s="46" t="e">
        <f>Sheet2!#REF!</f>
        <v>#REF!</v>
      </c>
      <c r="D244" s="46" t="e">
        <f>Sheet2!#REF!</f>
        <v>#REF!</v>
      </c>
      <c r="E244" s="46" t="e">
        <f>Sheet2!#REF!</f>
        <v>#REF!</v>
      </c>
      <c r="F244" s="35" t="e">
        <f>Sheet2!#REF!</f>
        <v>#REF!</v>
      </c>
      <c r="G244" s="12" t="e">
        <f>Sheet2!#REF!</f>
        <v>#REF!</v>
      </c>
      <c r="H244" s="21" t="e">
        <f>Sheet2!#REF!</f>
        <v>#REF!</v>
      </c>
      <c r="I244" s="21" t="e">
        <f>Sheet2!#REF!</f>
        <v>#REF!</v>
      </c>
      <c r="J244" s="12" t="e">
        <f>Sheet2!#REF!</f>
        <v>#REF!</v>
      </c>
      <c r="K244" s="12" t="e">
        <f>Sheet2!#REF!</f>
        <v>#REF!</v>
      </c>
      <c r="L244" s="21" t="e">
        <f>Sheet2!#REF!</f>
        <v>#REF!</v>
      </c>
    </row>
    <row r="245" spans="1:12" x14ac:dyDescent="0.25">
      <c r="A245" s="46" t="str">
        <f>Sheet2!A240</f>
        <v>North America</v>
      </c>
      <c r="B245" s="46" t="str">
        <f>Sheet2!C240</f>
        <v>Port Authority of New York and New Jersey (JFK International Airport)</v>
      </c>
      <c r="C245" s="46" t="str">
        <f>Sheet2!D240</f>
        <v>Year Ending Dec 2018</v>
      </c>
      <c r="D245" s="46" t="str">
        <f>Sheet2!E240</f>
        <v>USD</v>
      </c>
      <c r="E245" s="46">
        <f>Sheet2!F240</f>
        <v>1</v>
      </c>
      <c r="F245" s="35">
        <f>Sheet2!G240</f>
        <v>61558736</v>
      </c>
      <c r="G245" s="12">
        <f>Sheet2!J240</f>
        <v>1304660852</v>
      </c>
      <c r="H245" s="21">
        <f>Sheet2!R240</f>
        <v>311469115</v>
      </c>
      <c r="I245" s="21">
        <f>Sheet2!AH240</f>
        <v>1016869049</v>
      </c>
      <c r="J245" s="12">
        <f>Sheet2!AQ240</f>
        <v>0</v>
      </c>
      <c r="K245" s="12">
        <f>Sheet2!AT240</f>
        <v>287791803</v>
      </c>
      <c r="L245" s="21">
        <f>Sheet2!AV240</f>
        <v>0</v>
      </c>
    </row>
    <row r="246" spans="1:12" x14ac:dyDescent="0.25">
      <c r="A246" s="46" t="e">
        <f>Sheet2!#REF!</f>
        <v>#REF!</v>
      </c>
      <c r="B246" s="46" t="e">
        <f>Sheet2!#REF!</f>
        <v>#REF!</v>
      </c>
      <c r="C246" s="46" t="e">
        <f>Sheet2!#REF!</f>
        <v>#REF!</v>
      </c>
      <c r="D246" s="46" t="e">
        <f>Sheet2!#REF!</f>
        <v>#REF!</v>
      </c>
      <c r="E246" s="46" t="e">
        <f>Sheet2!#REF!</f>
        <v>#REF!</v>
      </c>
      <c r="F246" s="35" t="e">
        <f>Sheet2!#REF!</f>
        <v>#REF!</v>
      </c>
      <c r="G246" s="12" t="e">
        <f>Sheet2!#REF!</f>
        <v>#REF!</v>
      </c>
      <c r="H246" s="21" t="e">
        <f>Sheet2!#REF!</f>
        <v>#REF!</v>
      </c>
      <c r="I246" s="21" t="e">
        <f>Sheet2!#REF!</f>
        <v>#REF!</v>
      </c>
      <c r="J246" s="12" t="e">
        <f>Sheet2!#REF!</f>
        <v>#REF!</v>
      </c>
      <c r="K246" s="12" t="e">
        <f>Sheet2!#REF!</f>
        <v>#REF!</v>
      </c>
      <c r="L246" s="21" t="e">
        <f>Sheet2!#REF!</f>
        <v>#REF!</v>
      </c>
    </row>
    <row r="247" spans="1:12" x14ac:dyDescent="0.25">
      <c r="A247" s="46" t="str">
        <f>Sheet2!A242</f>
        <v>North America</v>
      </c>
      <c r="B247" s="46" t="str">
        <f>Sheet2!C242</f>
        <v>San Diego County Regional Airport Authority</v>
      </c>
      <c r="C247" s="46" t="str">
        <f>Sheet2!D242</f>
        <v>Year Ending June 2018</v>
      </c>
      <c r="D247" s="46" t="str">
        <f>Sheet2!E242</f>
        <v>USD</v>
      </c>
      <c r="E247" s="46">
        <f>Sheet2!F242</f>
        <v>1</v>
      </c>
      <c r="F247" s="35">
        <f>Sheet2!G242</f>
        <v>23431340</v>
      </c>
      <c r="G247" s="12">
        <f>Sheet2!J242</f>
        <v>265830000</v>
      </c>
      <c r="H247" s="21">
        <f>Sheet2!R242</f>
        <v>142673000</v>
      </c>
      <c r="I247" s="21">
        <f>Sheet2!AH242</f>
        <v>274652000</v>
      </c>
      <c r="J247" s="12">
        <f>Sheet2!AQ242</f>
        <v>0</v>
      </c>
      <c r="K247" s="12">
        <f>Sheet2!AT242</f>
        <v>-8822000</v>
      </c>
      <c r="L247" s="21">
        <f>Sheet2!AV242</f>
        <v>0</v>
      </c>
    </row>
    <row r="248" spans="1:12" x14ac:dyDescent="0.25">
      <c r="A248" s="46" t="str">
        <f>Sheet2!A243</f>
        <v>North America</v>
      </c>
      <c r="B248" s="46" t="str">
        <f>Sheet2!C243</f>
        <v>San Francisco International Airport</v>
      </c>
      <c r="C248" s="46" t="str">
        <f>Sheet2!D243</f>
        <v>Year Ending June 2018</v>
      </c>
      <c r="D248" s="46" t="str">
        <f>Sheet2!E243</f>
        <v>USD</v>
      </c>
      <c r="E248" s="46">
        <f>Sheet2!F243</f>
        <v>1</v>
      </c>
      <c r="F248" s="35">
        <f>Sheet2!G243</f>
        <v>57780300</v>
      </c>
      <c r="G248" s="12">
        <f>Sheet2!J243</f>
        <v>1063802000</v>
      </c>
      <c r="H248" s="21">
        <f>Sheet2!R243</f>
        <v>393520000</v>
      </c>
      <c r="I248" s="21">
        <f>Sheet2!AH243</f>
        <v>770186000</v>
      </c>
      <c r="J248" s="12">
        <f>Sheet2!AQ243</f>
        <v>0</v>
      </c>
      <c r="K248" s="12">
        <f>Sheet2!AT243</f>
        <v>293616000</v>
      </c>
      <c r="L248" s="21">
        <f>Sheet2!AV243</f>
        <v>0</v>
      </c>
    </row>
    <row r="249" spans="1:12" x14ac:dyDescent="0.25">
      <c r="A249" s="46" t="str">
        <f>Sheet2!A244</f>
        <v>North America</v>
      </c>
      <c r="B249" s="46" t="str">
        <f>Sheet2!C244</f>
        <v>Port of Seattle (Seattle Tacoma International Airport)</v>
      </c>
      <c r="C249" s="46" t="str">
        <f>Sheet2!D244</f>
        <v>Year Ending Dec 2018</v>
      </c>
      <c r="D249" s="46" t="str">
        <f>Sheet2!E244</f>
        <v>USD</v>
      </c>
      <c r="E249" s="46">
        <f>Sheet2!F244</f>
        <v>1</v>
      </c>
      <c r="F249" s="35">
        <f>Sheet2!G244</f>
        <v>49850000</v>
      </c>
      <c r="G249" s="12">
        <f>Sheet2!J244</f>
        <v>548974000</v>
      </c>
      <c r="H249" s="21">
        <f>Sheet2!R244</f>
        <v>257706000</v>
      </c>
      <c r="I249" s="21">
        <f>Sheet2!AH244</f>
        <v>443052026</v>
      </c>
      <c r="J249" s="12">
        <f>Sheet2!AQ244</f>
        <v>0</v>
      </c>
      <c r="K249" s="12">
        <f>Sheet2!AT244</f>
        <v>105922705</v>
      </c>
      <c r="L249" s="21">
        <f>Sheet2!AV244</f>
        <v>0</v>
      </c>
    </row>
    <row r="250" spans="1:12" x14ac:dyDescent="0.25">
      <c r="A250" s="46" t="str">
        <f>Sheet2!A245</f>
        <v>North America</v>
      </c>
      <c r="B250" s="46" t="str">
        <f>Sheet2!C245</f>
        <v xml:space="preserve">Houston Airport System </v>
      </c>
      <c r="C250" s="46" t="str">
        <f>Sheet2!D245</f>
        <v>Year Ending June 2018</v>
      </c>
      <c r="D250" s="46" t="str">
        <f>Sheet2!E245</f>
        <v>USD</v>
      </c>
      <c r="E250" s="46">
        <f>Sheet2!F245</f>
        <v>1</v>
      </c>
      <c r="F250" s="35">
        <f>Sheet2!G245</f>
        <v>55327328</v>
      </c>
      <c r="G250" s="12">
        <f>Sheet2!J245</f>
        <v>510864000</v>
      </c>
      <c r="H250" s="21">
        <f>Sheet2!R245</f>
        <v>0</v>
      </c>
      <c r="I250" s="21">
        <f>Sheet2!AH245</f>
        <v>511157000</v>
      </c>
      <c r="J250" s="12">
        <f>Sheet2!AQ245</f>
        <v>0</v>
      </c>
      <c r="K250" s="12">
        <f>Sheet2!AT245</f>
        <v>-293000</v>
      </c>
      <c r="L250" s="21">
        <f>Sheet2!AV245</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49F1-0614-48E2-971F-B69DC80089F7}">
  <dimension ref="B2:AM341"/>
  <sheetViews>
    <sheetView showGridLines="0" zoomScale="80" zoomScaleNormal="80" workbookViewId="0">
      <pane xSplit="4" ySplit="2" topLeftCell="E21" activePane="bottomRight" state="frozen"/>
      <selection activeCell="C49" sqref="C49"/>
      <selection pane="topRight" activeCell="C49" sqref="C49"/>
      <selection pane="bottomLeft" activeCell="C49" sqref="C49"/>
      <selection pane="bottomRight" activeCell="H51" sqref="H51"/>
    </sheetView>
  </sheetViews>
  <sheetFormatPr defaultRowHeight="12.75" x14ac:dyDescent="0.2"/>
  <cols>
    <col min="1" max="1" width="2.28515625" style="167" customWidth="1"/>
    <col min="2" max="2" width="38.7109375" style="167" customWidth="1"/>
    <col min="3" max="3" width="22.140625" style="167" customWidth="1"/>
    <col min="4" max="4" width="79.85546875" style="207" customWidth="1"/>
    <col min="5" max="5" width="30.28515625" style="167" customWidth="1"/>
    <col min="6" max="6" width="12" style="167" customWidth="1"/>
    <col min="7" max="7" width="25.5703125" style="174" customWidth="1"/>
    <col min="8" max="9" width="16.140625" style="177" customWidth="1"/>
    <col min="10" max="10" width="20.140625" style="174" customWidth="1"/>
    <col min="11" max="11" width="28.28515625" style="177" customWidth="1"/>
    <col min="12" max="12" width="33.5703125" style="173" customWidth="1"/>
    <col min="13" max="13" width="40.5703125" style="174" customWidth="1"/>
    <col min="14" max="14" width="27.85546875" style="174" customWidth="1"/>
    <col min="15" max="15" width="42" style="174" customWidth="1"/>
    <col min="16" max="16" width="34" style="174" customWidth="1"/>
    <col min="17" max="17" width="26.85546875" style="174" customWidth="1"/>
    <col min="18" max="18" width="33.7109375" style="174" customWidth="1"/>
    <col min="19" max="20" width="21.140625" style="174" customWidth="1"/>
    <col min="21" max="21" width="19.42578125" style="174" customWidth="1"/>
    <col min="22" max="22" width="17.28515625" style="174" customWidth="1"/>
    <col min="23" max="23" width="21.5703125" style="174" customWidth="1"/>
    <col min="24" max="24" width="27.5703125" style="174" customWidth="1"/>
    <col min="25" max="25" width="20.140625" style="174" customWidth="1"/>
    <col min="26" max="26" width="19.5703125" style="174" customWidth="1"/>
    <col min="27" max="27" width="23.42578125" style="174" customWidth="1"/>
    <col min="28" max="28" width="13" style="174" customWidth="1"/>
    <col min="29" max="29" width="19.5703125" style="174" customWidth="1"/>
    <col min="30" max="30" width="22" style="174" customWidth="1"/>
    <col min="31" max="31" width="21.7109375" style="174" customWidth="1"/>
    <col min="32" max="36" width="19.85546875" style="174" customWidth="1"/>
    <col min="37" max="37" width="22.7109375" style="174" customWidth="1"/>
    <col min="38" max="38" width="71.140625" style="167" customWidth="1"/>
    <col min="39" max="16384" width="9.140625" style="167"/>
  </cols>
  <sheetData>
    <row r="2" spans="2:39" s="166" customFormat="1" ht="66.75" customHeight="1" x14ac:dyDescent="0.2">
      <c r="B2" s="274" t="s">
        <v>8</v>
      </c>
      <c r="C2" s="274" t="s">
        <v>12</v>
      </c>
      <c r="D2" s="275" t="s">
        <v>7</v>
      </c>
      <c r="E2" s="274" t="s">
        <v>13</v>
      </c>
      <c r="F2" s="274" t="s">
        <v>14</v>
      </c>
      <c r="G2" s="276" t="s">
        <v>563</v>
      </c>
      <c r="H2" s="277" t="s">
        <v>16</v>
      </c>
      <c r="I2" s="277" t="s">
        <v>17</v>
      </c>
      <c r="J2" s="276" t="s">
        <v>18</v>
      </c>
      <c r="K2" s="277" t="s">
        <v>654</v>
      </c>
      <c r="L2" s="278" t="s">
        <v>890</v>
      </c>
      <c r="M2" s="276" t="s">
        <v>891</v>
      </c>
      <c r="N2" s="276" t="s">
        <v>892</v>
      </c>
      <c r="O2" s="276" t="s">
        <v>893</v>
      </c>
      <c r="P2" s="276" t="s">
        <v>894</v>
      </c>
      <c r="Q2" s="276" t="s">
        <v>895</v>
      </c>
      <c r="R2" s="276" t="s">
        <v>896</v>
      </c>
      <c r="S2" s="276" t="s">
        <v>897</v>
      </c>
      <c r="T2" s="276" t="s">
        <v>898</v>
      </c>
      <c r="U2" s="276" t="s">
        <v>899</v>
      </c>
      <c r="V2" s="276" t="s">
        <v>900</v>
      </c>
      <c r="W2" s="276" t="s">
        <v>901</v>
      </c>
      <c r="X2" s="276" t="s">
        <v>564</v>
      </c>
      <c r="Y2" s="276" t="s">
        <v>902</v>
      </c>
      <c r="Z2" s="276" t="s">
        <v>903</v>
      </c>
      <c r="AA2" s="276" t="s">
        <v>48</v>
      </c>
      <c r="AB2" s="276" t="s">
        <v>50</v>
      </c>
      <c r="AC2" s="279" t="s">
        <v>1</v>
      </c>
      <c r="AD2" s="276" t="s">
        <v>566</v>
      </c>
      <c r="AE2" s="276" t="s">
        <v>909</v>
      </c>
      <c r="AF2" s="276" t="s">
        <v>908</v>
      </c>
      <c r="AG2" s="276" t="s">
        <v>907</v>
      </c>
      <c r="AH2" s="276" t="s">
        <v>906</v>
      </c>
      <c r="AI2" s="276" t="s">
        <v>639</v>
      </c>
      <c r="AJ2" s="276" t="s">
        <v>905</v>
      </c>
      <c r="AK2" s="276" t="s">
        <v>904</v>
      </c>
    </row>
    <row r="3" spans="2:39" x14ac:dyDescent="0.2">
      <c r="B3" s="214" t="s">
        <v>59</v>
      </c>
      <c r="C3" s="214" t="s">
        <v>60</v>
      </c>
      <c r="D3" s="215" t="s">
        <v>61</v>
      </c>
      <c r="E3" s="216" t="s">
        <v>62</v>
      </c>
      <c r="F3" s="216" t="s">
        <v>63</v>
      </c>
      <c r="G3" s="248">
        <v>0.23388530499999999</v>
      </c>
      <c r="H3" s="242">
        <v>2381917</v>
      </c>
      <c r="I3" s="220"/>
      <c r="J3" s="218"/>
      <c r="K3" s="218"/>
      <c r="L3" s="218"/>
      <c r="M3" s="225"/>
      <c r="N3" s="234"/>
      <c r="O3" s="218"/>
      <c r="P3" s="234"/>
      <c r="Q3" s="234"/>
      <c r="R3" s="234"/>
      <c r="S3" s="234"/>
      <c r="T3" s="234"/>
      <c r="U3" s="234"/>
      <c r="V3" s="218"/>
      <c r="W3" s="218"/>
      <c r="X3" s="218"/>
      <c r="Y3" s="234"/>
      <c r="Z3" s="218"/>
      <c r="AA3" s="218"/>
      <c r="AB3" s="220"/>
      <c r="AC3" s="218"/>
      <c r="AD3" s="218"/>
      <c r="AE3" s="225"/>
      <c r="AF3" s="249"/>
      <c r="AG3" s="249"/>
      <c r="AH3" s="249"/>
      <c r="AI3" s="249"/>
      <c r="AJ3" s="249"/>
      <c r="AK3" s="249"/>
      <c r="AL3" s="150"/>
    </row>
    <row r="4" spans="2:39" x14ac:dyDescent="0.2">
      <c r="B4" s="214" t="s">
        <v>59</v>
      </c>
      <c r="C4" s="214" t="s">
        <v>64</v>
      </c>
      <c r="D4" s="232" t="s">
        <v>65</v>
      </c>
      <c r="E4" s="216" t="s">
        <v>66</v>
      </c>
      <c r="F4" s="216" t="s">
        <v>67</v>
      </c>
      <c r="G4" s="248">
        <v>1.067464E-4</v>
      </c>
      <c r="H4" s="242">
        <v>396300</v>
      </c>
      <c r="I4" s="220"/>
      <c r="J4" s="220"/>
      <c r="K4" s="218"/>
      <c r="L4" s="220"/>
      <c r="M4" s="234"/>
      <c r="N4" s="234"/>
      <c r="O4" s="234"/>
      <c r="P4" s="234"/>
      <c r="Q4" s="234"/>
      <c r="R4" s="234"/>
      <c r="S4" s="234"/>
      <c r="T4" s="234"/>
      <c r="U4" s="234"/>
      <c r="V4" s="220"/>
      <c r="W4" s="220"/>
      <c r="X4" s="220"/>
      <c r="Y4" s="234"/>
      <c r="Z4" s="220"/>
      <c r="AA4" s="218"/>
      <c r="AB4" s="225"/>
      <c r="AC4" s="220"/>
      <c r="AD4" s="220"/>
      <c r="AE4" s="225"/>
      <c r="AF4" s="250"/>
      <c r="AG4" s="250"/>
      <c r="AH4" s="250"/>
      <c r="AI4" s="250"/>
      <c r="AJ4" s="250"/>
      <c r="AK4" s="250"/>
      <c r="AL4" s="150"/>
    </row>
    <row r="5" spans="2:39" x14ac:dyDescent="0.2">
      <c r="B5" s="214" t="s">
        <v>59</v>
      </c>
      <c r="C5" s="214" t="s">
        <v>69</v>
      </c>
      <c r="D5" s="215" t="s">
        <v>669</v>
      </c>
      <c r="E5" s="216" t="s">
        <v>96</v>
      </c>
      <c r="F5" s="216" t="s">
        <v>72</v>
      </c>
      <c r="G5" s="248">
        <v>9.7000000000000003E-3</v>
      </c>
      <c r="H5" s="242">
        <v>10223143</v>
      </c>
      <c r="I5" s="220"/>
      <c r="J5" s="218"/>
      <c r="K5" s="218"/>
      <c r="L5" s="218"/>
      <c r="M5" s="225"/>
      <c r="N5" s="234"/>
      <c r="O5" s="225"/>
      <c r="P5" s="234"/>
      <c r="Q5" s="234"/>
      <c r="R5" s="234"/>
      <c r="S5" s="234"/>
      <c r="T5" s="234"/>
      <c r="U5" s="234"/>
      <c r="V5" s="220"/>
      <c r="W5" s="218"/>
      <c r="X5" s="218"/>
      <c r="Y5" s="234"/>
      <c r="Z5" s="220"/>
      <c r="AA5" s="218"/>
      <c r="AB5" s="234"/>
      <c r="AC5" s="218"/>
      <c r="AD5" s="218"/>
      <c r="AE5" s="225"/>
      <c r="AF5" s="249"/>
      <c r="AG5" s="249"/>
      <c r="AH5" s="249"/>
      <c r="AI5" s="249"/>
      <c r="AJ5" s="249"/>
      <c r="AK5" s="249"/>
      <c r="AL5" s="150"/>
    </row>
    <row r="6" spans="2:39" x14ac:dyDescent="0.2">
      <c r="B6" s="214" t="s">
        <v>59</v>
      </c>
      <c r="C6" s="214" t="s">
        <v>74</v>
      </c>
      <c r="D6" s="215" t="s">
        <v>75</v>
      </c>
      <c r="E6" s="216" t="s">
        <v>66</v>
      </c>
      <c r="F6" s="216" t="s">
        <v>76</v>
      </c>
      <c r="G6" s="248">
        <v>1.4039027799999999E-2</v>
      </c>
      <c r="H6" s="242">
        <v>1900000</v>
      </c>
      <c r="I6" s="220"/>
      <c r="J6" s="220"/>
      <c r="K6" s="218"/>
      <c r="L6" s="220"/>
      <c r="M6" s="234"/>
      <c r="N6" s="234"/>
      <c r="O6" s="234"/>
      <c r="P6" s="234"/>
      <c r="Q6" s="234"/>
      <c r="R6" s="234"/>
      <c r="S6" s="234"/>
      <c r="T6" s="234"/>
      <c r="U6" s="234"/>
      <c r="V6" s="220"/>
      <c r="W6" s="218"/>
      <c r="X6" s="220"/>
      <c r="Y6" s="234"/>
      <c r="Z6" s="220"/>
      <c r="AA6" s="218"/>
      <c r="AB6" s="234"/>
      <c r="AC6" s="220"/>
      <c r="AD6" s="218"/>
      <c r="AE6" s="225"/>
      <c r="AF6" s="250"/>
      <c r="AG6" s="250"/>
      <c r="AH6" s="250"/>
      <c r="AI6" s="249"/>
      <c r="AJ6" s="249"/>
      <c r="AK6" s="250"/>
      <c r="AL6" s="150"/>
    </row>
    <row r="7" spans="2:39" x14ac:dyDescent="0.2">
      <c r="B7" s="214" t="s">
        <v>59</v>
      </c>
      <c r="C7" s="214" t="s">
        <v>77</v>
      </c>
      <c r="D7" s="215" t="s">
        <v>78</v>
      </c>
      <c r="E7" s="216" t="s">
        <v>79</v>
      </c>
      <c r="F7" s="216" t="s">
        <v>80</v>
      </c>
      <c r="G7" s="248">
        <v>6.7970534200000002E-2</v>
      </c>
      <c r="H7" s="242">
        <f>753440+258515</f>
        <v>1011955</v>
      </c>
      <c r="I7" s="220"/>
      <c r="J7" s="218"/>
      <c r="K7" s="218"/>
      <c r="L7" s="218"/>
      <c r="M7" s="225"/>
      <c r="N7" s="225"/>
      <c r="O7" s="218"/>
      <c r="P7" s="234"/>
      <c r="Q7" s="234"/>
      <c r="R7" s="234"/>
      <c r="S7" s="234"/>
      <c r="T7" s="234"/>
      <c r="U7" s="234"/>
      <c r="V7" s="218"/>
      <c r="W7" s="218"/>
      <c r="X7" s="218"/>
      <c r="Y7" s="234"/>
      <c r="Z7" s="218"/>
      <c r="AA7" s="218"/>
      <c r="AB7" s="225"/>
      <c r="AC7" s="218"/>
      <c r="AD7" s="218"/>
      <c r="AE7" s="225"/>
      <c r="AF7" s="249"/>
      <c r="AG7" s="249"/>
      <c r="AH7" s="249"/>
      <c r="AI7" s="249"/>
      <c r="AJ7" s="249"/>
      <c r="AK7" s="249"/>
      <c r="AL7" s="150"/>
    </row>
    <row r="8" spans="2:39" x14ac:dyDescent="0.2">
      <c r="B8" s="214" t="s">
        <v>59</v>
      </c>
      <c r="C8" s="214" t="s">
        <v>81</v>
      </c>
      <c r="D8" s="215" t="s">
        <v>82</v>
      </c>
      <c r="E8" s="216" t="s">
        <v>83</v>
      </c>
      <c r="F8" s="216" t="s">
        <v>84</v>
      </c>
      <c r="G8" s="248">
        <v>2.7777797E-3</v>
      </c>
      <c r="H8" s="242">
        <v>13394945</v>
      </c>
      <c r="I8" s="220"/>
      <c r="J8" s="218"/>
      <c r="K8" s="220"/>
      <c r="L8" s="220"/>
      <c r="M8" s="225"/>
      <c r="N8" s="234"/>
      <c r="O8" s="220"/>
      <c r="P8" s="234"/>
      <c r="Q8" s="234"/>
      <c r="R8" s="234"/>
      <c r="S8" s="234"/>
      <c r="T8" s="234"/>
      <c r="U8" s="234"/>
      <c r="V8" s="220"/>
      <c r="W8" s="220"/>
      <c r="X8" s="220"/>
      <c r="Y8" s="234"/>
      <c r="Z8" s="220"/>
      <c r="AA8" s="220"/>
      <c r="AB8" s="234"/>
      <c r="AC8" s="220"/>
      <c r="AD8" s="220"/>
      <c r="AE8" s="234"/>
      <c r="AF8" s="250"/>
      <c r="AG8" s="250"/>
      <c r="AH8" s="250"/>
      <c r="AI8" s="250"/>
      <c r="AJ8" s="250"/>
      <c r="AK8" s="250"/>
      <c r="AL8" s="150"/>
    </row>
    <row r="9" spans="2:39" x14ac:dyDescent="0.2">
      <c r="B9" s="214" t="s">
        <v>59</v>
      </c>
      <c r="C9" s="214" t="s">
        <v>85</v>
      </c>
      <c r="D9" s="232" t="s">
        <v>86</v>
      </c>
      <c r="E9" s="216" t="s">
        <v>83</v>
      </c>
      <c r="F9" s="216" t="s">
        <v>87</v>
      </c>
      <c r="G9" s="248">
        <v>7.1170347800000006E-2</v>
      </c>
      <c r="H9" s="242">
        <f>345887*2</f>
        <v>691774</v>
      </c>
      <c r="I9" s="220"/>
      <c r="J9" s="218"/>
      <c r="K9" s="218"/>
      <c r="L9" s="218"/>
      <c r="M9" s="225"/>
      <c r="N9" s="225"/>
      <c r="O9" s="218"/>
      <c r="P9" s="234"/>
      <c r="Q9" s="234"/>
      <c r="R9" s="234"/>
      <c r="S9" s="234"/>
      <c r="T9" s="234"/>
      <c r="U9" s="234"/>
      <c r="V9" s="220"/>
      <c r="W9" s="218"/>
      <c r="X9" s="218"/>
      <c r="Y9" s="234"/>
      <c r="Z9" s="218"/>
      <c r="AA9" s="218"/>
      <c r="AB9" s="225"/>
      <c r="AC9" s="218"/>
      <c r="AD9" s="218"/>
      <c r="AE9" s="225"/>
      <c r="AF9" s="249"/>
      <c r="AG9" s="249"/>
      <c r="AH9" s="249"/>
      <c r="AI9" s="250"/>
      <c r="AJ9" s="249"/>
      <c r="AK9" s="249"/>
      <c r="AL9" s="150"/>
    </row>
    <row r="10" spans="2:39" x14ac:dyDescent="0.2">
      <c r="B10" s="214" t="s">
        <v>59</v>
      </c>
      <c r="C10" s="214" t="s">
        <v>89</v>
      </c>
      <c r="D10" s="215" t="s">
        <v>90</v>
      </c>
      <c r="E10" s="216" t="s">
        <v>135</v>
      </c>
      <c r="F10" s="216" t="s">
        <v>92</v>
      </c>
      <c r="G10" s="248">
        <v>8.4363999999999995E-2</v>
      </c>
      <c r="H10" s="242">
        <v>41500000</v>
      </c>
      <c r="I10" s="220"/>
      <c r="J10" s="218"/>
      <c r="K10" s="218"/>
      <c r="L10" s="218"/>
      <c r="M10" s="234"/>
      <c r="N10" s="234"/>
      <c r="O10" s="218"/>
      <c r="P10" s="234"/>
      <c r="Q10" s="234"/>
      <c r="R10" s="234"/>
      <c r="S10" s="234"/>
      <c r="T10" s="218"/>
      <c r="U10" s="225"/>
      <c r="V10" s="218"/>
      <c r="W10" s="218"/>
      <c r="X10" s="218"/>
      <c r="Y10" s="234"/>
      <c r="Z10" s="218"/>
      <c r="AA10" s="218"/>
      <c r="AB10" s="225"/>
      <c r="AC10" s="218"/>
      <c r="AD10" s="218"/>
      <c r="AE10" s="225"/>
      <c r="AF10" s="249"/>
      <c r="AG10" s="249"/>
      <c r="AH10" s="249"/>
      <c r="AI10" s="249"/>
      <c r="AJ10" s="249"/>
      <c r="AK10" s="249"/>
      <c r="AL10" s="150"/>
    </row>
    <row r="11" spans="2:39" x14ac:dyDescent="0.2">
      <c r="B11" s="214" t="s">
        <v>59</v>
      </c>
      <c r="C11" s="214" t="s">
        <v>89</v>
      </c>
      <c r="D11" s="215" t="s">
        <v>93</v>
      </c>
      <c r="E11" s="216" t="s">
        <v>91</v>
      </c>
      <c r="F11" s="216" t="s">
        <v>92</v>
      </c>
      <c r="G11" s="248">
        <v>7.4476800900000001E-2</v>
      </c>
      <c r="H11" s="242">
        <v>63635</v>
      </c>
      <c r="I11" s="220"/>
      <c r="J11" s="218"/>
      <c r="K11" s="218"/>
      <c r="L11" s="218"/>
      <c r="M11" s="225"/>
      <c r="N11" s="225"/>
      <c r="O11" s="218"/>
      <c r="P11" s="234"/>
      <c r="Q11" s="234"/>
      <c r="R11" s="234"/>
      <c r="S11" s="234"/>
      <c r="T11" s="225"/>
      <c r="U11" s="225"/>
      <c r="V11" s="218"/>
      <c r="W11" s="218"/>
      <c r="X11" s="218"/>
      <c r="Y11" s="234"/>
      <c r="Z11" s="220"/>
      <c r="AA11" s="218"/>
      <c r="AB11" s="225"/>
      <c r="AC11" s="218"/>
      <c r="AD11" s="218"/>
      <c r="AE11" s="225"/>
      <c r="AF11" s="249"/>
      <c r="AG11" s="249"/>
      <c r="AH11" s="249"/>
      <c r="AI11" s="249"/>
      <c r="AJ11" s="249"/>
      <c r="AK11" s="249"/>
      <c r="AL11" s="150"/>
    </row>
    <row r="12" spans="2:39" x14ac:dyDescent="0.2">
      <c r="B12" s="214" t="s">
        <v>59</v>
      </c>
      <c r="C12" s="214" t="s">
        <v>94</v>
      </c>
      <c r="D12" s="232" t="s">
        <v>95</v>
      </c>
      <c r="E12" s="216" t="s">
        <v>199</v>
      </c>
      <c r="F12" s="216" t="s">
        <v>97</v>
      </c>
      <c r="G12" s="248">
        <v>4.4669019999999998E-4</v>
      </c>
      <c r="H12" s="242">
        <v>3370000</v>
      </c>
      <c r="I12" s="220"/>
      <c r="J12" s="218"/>
      <c r="K12" s="218"/>
      <c r="L12" s="218"/>
      <c r="M12" s="234"/>
      <c r="N12" s="234"/>
      <c r="O12" s="218"/>
      <c r="P12" s="234"/>
      <c r="Q12" s="234"/>
      <c r="R12" s="234"/>
      <c r="S12" s="234"/>
      <c r="T12" s="234"/>
      <c r="U12" s="234"/>
      <c r="V12" s="220"/>
      <c r="W12" s="220"/>
      <c r="X12" s="220"/>
      <c r="Y12" s="234"/>
      <c r="Z12" s="220"/>
      <c r="AA12" s="220"/>
      <c r="AB12" s="234"/>
      <c r="AC12" s="220"/>
      <c r="AD12" s="220"/>
      <c r="AE12" s="234"/>
      <c r="AF12" s="250"/>
      <c r="AG12" s="250"/>
      <c r="AH12" s="250"/>
      <c r="AI12" s="250"/>
      <c r="AJ12" s="250"/>
      <c r="AK12" s="250"/>
      <c r="AL12" s="150"/>
    </row>
    <row r="13" spans="2:39" x14ac:dyDescent="0.2">
      <c r="B13" s="214" t="s">
        <v>59</v>
      </c>
      <c r="C13" s="214" t="s">
        <v>98</v>
      </c>
      <c r="D13" s="215" t="s">
        <v>99</v>
      </c>
      <c r="E13" s="216" t="s">
        <v>565</v>
      </c>
      <c r="F13" s="216" t="s">
        <v>101</v>
      </c>
      <c r="G13" s="248">
        <v>9.912E-2</v>
      </c>
      <c r="H13" s="242">
        <v>1748200</v>
      </c>
      <c r="I13" s="218"/>
      <c r="J13" s="218"/>
      <c r="K13" s="218"/>
      <c r="L13" s="218"/>
      <c r="M13" s="225"/>
      <c r="N13" s="225"/>
      <c r="O13" s="225"/>
      <c r="P13" s="225"/>
      <c r="Q13" s="234"/>
      <c r="R13" s="234"/>
      <c r="S13" s="225"/>
      <c r="T13" s="234"/>
      <c r="U13" s="225"/>
      <c r="V13" s="218"/>
      <c r="W13" s="218"/>
      <c r="X13" s="218"/>
      <c r="Y13" s="234"/>
      <c r="Z13" s="220"/>
      <c r="AA13" s="218"/>
      <c r="AB13" s="225"/>
      <c r="AC13" s="218"/>
      <c r="AD13" s="218"/>
      <c r="AE13" s="225"/>
      <c r="AF13" s="249"/>
      <c r="AG13" s="249"/>
      <c r="AH13" s="249"/>
      <c r="AI13" s="249"/>
      <c r="AJ13" s="249"/>
      <c r="AK13" s="249"/>
      <c r="AL13" s="150"/>
    </row>
    <row r="14" spans="2:39" x14ac:dyDescent="0.2">
      <c r="B14" s="214" t="s">
        <v>103</v>
      </c>
      <c r="C14" s="214" t="s">
        <v>104</v>
      </c>
      <c r="D14" s="232" t="s">
        <v>105</v>
      </c>
      <c r="E14" s="216" t="s">
        <v>83</v>
      </c>
      <c r="F14" s="216" t="s">
        <v>106</v>
      </c>
      <c r="G14" s="248">
        <v>0.1069421154</v>
      </c>
      <c r="H14" s="242">
        <v>20357866</v>
      </c>
      <c r="I14" s="220"/>
      <c r="J14" s="218"/>
      <c r="K14" s="218"/>
      <c r="L14" s="218"/>
      <c r="M14" s="234"/>
      <c r="N14" s="234"/>
      <c r="O14" s="218"/>
      <c r="P14" s="234"/>
      <c r="Q14" s="234"/>
      <c r="R14" s="234"/>
      <c r="S14" s="234"/>
      <c r="T14" s="234"/>
      <c r="U14" s="234"/>
      <c r="V14" s="220"/>
      <c r="W14" s="218"/>
      <c r="X14" s="220"/>
      <c r="Y14" s="234"/>
      <c r="Z14" s="220"/>
      <c r="AA14" s="218"/>
      <c r="AB14" s="225"/>
      <c r="AC14" s="220"/>
      <c r="AD14" s="220"/>
      <c r="AE14" s="234"/>
      <c r="AF14" s="250"/>
      <c r="AG14" s="250"/>
      <c r="AH14" s="250"/>
      <c r="AI14" s="250"/>
      <c r="AJ14" s="250"/>
      <c r="AK14" s="250"/>
      <c r="AL14" s="150"/>
    </row>
    <row r="15" spans="2:39" x14ac:dyDescent="0.2">
      <c r="B15" s="214" t="s">
        <v>103</v>
      </c>
      <c r="C15" s="214" t="s">
        <v>108</v>
      </c>
      <c r="D15" s="215" t="s">
        <v>109</v>
      </c>
      <c r="E15" s="216" t="s">
        <v>527</v>
      </c>
      <c r="F15" s="216" t="s">
        <v>110</v>
      </c>
      <c r="G15" s="248">
        <v>1.145548</v>
      </c>
      <c r="H15" s="242">
        <v>2490000</v>
      </c>
      <c r="I15" s="220"/>
      <c r="J15" s="220"/>
      <c r="K15" s="218"/>
      <c r="L15" s="220"/>
      <c r="M15" s="234"/>
      <c r="N15" s="234"/>
      <c r="O15" s="234"/>
      <c r="P15" s="234"/>
      <c r="Q15" s="234"/>
      <c r="R15" s="234"/>
      <c r="S15" s="234"/>
      <c r="T15" s="234"/>
      <c r="U15" s="234"/>
      <c r="V15" s="220"/>
      <c r="W15" s="220"/>
      <c r="X15" s="220"/>
      <c r="Y15" s="234"/>
      <c r="Z15" s="220"/>
      <c r="AA15" s="220"/>
      <c r="AB15" s="225"/>
      <c r="AC15" s="220"/>
      <c r="AD15" s="220"/>
      <c r="AE15" s="234"/>
      <c r="AF15" s="250"/>
      <c r="AG15" s="250"/>
      <c r="AH15" s="250"/>
      <c r="AI15" s="250"/>
      <c r="AJ15" s="250"/>
      <c r="AK15" s="250"/>
      <c r="AL15" s="150"/>
      <c r="AM15" s="167" t="s">
        <v>6</v>
      </c>
    </row>
    <row r="16" spans="2:39" x14ac:dyDescent="0.2">
      <c r="B16" s="214" t="s">
        <v>103</v>
      </c>
      <c r="C16" s="214" t="s">
        <v>111</v>
      </c>
      <c r="D16" s="232" t="s">
        <v>112</v>
      </c>
      <c r="E16" s="216" t="s">
        <v>113</v>
      </c>
      <c r="F16" s="216" t="s">
        <v>114</v>
      </c>
      <c r="G16" s="248">
        <v>0.12779552720000001</v>
      </c>
      <c r="H16" s="242">
        <v>14059891</v>
      </c>
      <c r="I16" s="220"/>
      <c r="J16" s="220"/>
      <c r="K16" s="218"/>
      <c r="L16" s="220"/>
      <c r="M16" s="234"/>
      <c r="N16" s="234"/>
      <c r="O16" s="234"/>
      <c r="P16" s="234"/>
      <c r="Q16" s="234"/>
      <c r="R16" s="234"/>
      <c r="S16" s="234"/>
      <c r="T16" s="234"/>
      <c r="U16" s="234"/>
      <c r="V16" s="220"/>
      <c r="W16" s="220"/>
      <c r="X16" s="220"/>
      <c r="Y16" s="234"/>
      <c r="Z16" s="220"/>
      <c r="AA16" s="220"/>
      <c r="AB16" s="234"/>
      <c r="AC16" s="220"/>
      <c r="AD16" s="220"/>
      <c r="AE16" s="225"/>
      <c r="AF16" s="250"/>
      <c r="AG16" s="250"/>
      <c r="AH16" s="250"/>
      <c r="AI16" s="250"/>
      <c r="AJ16" s="250"/>
      <c r="AK16" s="250"/>
      <c r="AL16" s="150"/>
    </row>
    <row r="17" spans="2:38" x14ac:dyDescent="0.2">
      <c r="B17" s="214" t="s">
        <v>115</v>
      </c>
      <c r="C17" s="214" t="s">
        <v>116</v>
      </c>
      <c r="D17" s="232" t="s">
        <v>117</v>
      </c>
      <c r="E17" s="216" t="s">
        <v>83</v>
      </c>
      <c r="F17" s="216" t="s">
        <v>118</v>
      </c>
      <c r="G17" s="248">
        <v>2.6595744681000002</v>
      </c>
      <c r="H17" s="242">
        <v>8477331</v>
      </c>
      <c r="I17" s="218"/>
      <c r="J17" s="218"/>
      <c r="K17" s="218"/>
      <c r="L17" s="220"/>
      <c r="M17" s="234"/>
      <c r="N17" s="234"/>
      <c r="O17" s="234"/>
      <c r="P17" s="225"/>
      <c r="Q17" s="234"/>
      <c r="R17" s="234"/>
      <c r="S17" s="234"/>
      <c r="T17" s="234"/>
      <c r="U17" s="234"/>
      <c r="V17" s="220"/>
      <c r="W17" s="220"/>
      <c r="X17" s="220"/>
      <c r="Y17" s="234"/>
      <c r="Z17" s="220"/>
      <c r="AA17" s="220"/>
      <c r="AB17" s="234"/>
      <c r="AC17" s="220"/>
      <c r="AD17" s="220"/>
      <c r="AE17" s="225"/>
      <c r="AF17" s="250"/>
      <c r="AG17" s="250"/>
      <c r="AH17" s="250"/>
      <c r="AI17" s="250"/>
      <c r="AJ17" s="250"/>
      <c r="AK17" s="250"/>
      <c r="AL17" s="150"/>
    </row>
    <row r="18" spans="2:38" x14ac:dyDescent="0.2">
      <c r="B18" s="214" t="s">
        <v>115</v>
      </c>
      <c r="C18" s="214" t="s">
        <v>119</v>
      </c>
      <c r="D18" s="232" t="s">
        <v>120</v>
      </c>
      <c r="E18" s="216" t="s">
        <v>83</v>
      </c>
      <c r="F18" s="216" t="s">
        <v>121</v>
      </c>
      <c r="G18" s="248">
        <v>0.28719135820000002</v>
      </c>
      <c r="H18" s="242">
        <f>(10228+10235)*(1000)</f>
        <v>20463000</v>
      </c>
      <c r="I18" s="220"/>
      <c r="J18" s="220"/>
      <c r="K18" s="218"/>
      <c r="L18" s="220"/>
      <c r="M18" s="234"/>
      <c r="N18" s="234"/>
      <c r="O18" s="234"/>
      <c r="P18" s="234"/>
      <c r="Q18" s="234"/>
      <c r="R18" s="234"/>
      <c r="S18" s="234"/>
      <c r="T18" s="234"/>
      <c r="U18" s="234"/>
      <c r="V18" s="220"/>
      <c r="W18" s="220"/>
      <c r="X18" s="220"/>
      <c r="Y18" s="234"/>
      <c r="Z18" s="220"/>
      <c r="AA18" s="220"/>
      <c r="AB18" s="234"/>
      <c r="AC18" s="220"/>
      <c r="AD18" s="220"/>
      <c r="AE18" s="234"/>
      <c r="AF18" s="250"/>
      <c r="AG18" s="250"/>
      <c r="AH18" s="250"/>
      <c r="AI18" s="250"/>
      <c r="AJ18" s="250"/>
      <c r="AK18" s="250"/>
      <c r="AL18" s="150"/>
    </row>
    <row r="19" spans="2:38" x14ac:dyDescent="0.2">
      <c r="B19" s="214" t="s">
        <v>115</v>
      </c>
      <c r="C19" s="214" t="s">
        <v>122</v>
      </c>
      <c r="D19" s="215" t="s">
        <v>123</v>
      </c>
      <c r="E19" s="216" t="s">
        <v>83</v>
      </c>
      <c r="F19" s="216" t="s">
        <v>110</v>
      </c>
      <c r="G19" s="248">
        <v>1.1998614888000001</v>
      </c>
      <c r="H19" s="242">
        <v>7914704</v>
      </c>
      <c r="I19" s="220"/>
      <c r="J19" s="218"/>
      <c r="K19" s="220"/>
      <c r="L19" s="220"/>
      <c r="M19" s="234"/>
      <c r="N19" s="234"/>
      <c r="O19" s="234"/>
      <c r="P19" s="234"/>
      <c r="Q19" s="234"/>
      <c r="R19" s="234"/>
      <c r="S19" s="234"/>
      <c r="T19" s="234"/>
      <c r="U19" s="234"/>
      <c r="V19" s="220"/>
      <c r="W19" s="220"/>
      <c r="X19" s="220"/>
      <c r="Y19" s="234"/>
      <c r="Z19" s="220"/>
      <c r="AA19" s="220"/>
      <c r="AB19" s="234"/>
      <c r="AC19" s="220"/>
      <c r="AD19" s="220"/>
      <c r="AE19" s="234"/>
      <c r="AF19" s="250"/>
      <c r="AG19" s="250"/>
      <c r="AH19" s="250"/>
      <c r="AI19" s="250"/>
      <c r="AJ19" s="250"/>
      <c r="AK19" s="250"/>
      <c r="AL19" s="150"/>
    </row>
    <row r="20" spans="2:38" x14ac:dyDescent="0.2">
      <c r="B20" s="214" t="s">
        <v>115</v>
      </c>
      <c r="C20" s="214" t="s">
        <v>124</v>
      </c>
      <c r="D20" s="232" t="s">
        <v>125</v>
      </c>
      <c r="E20" s="216" t="s">
        <v>66</v>
      </c>
      <c r="F20" s="216" t="s">
        <v>126</v>
      </c>
      <c r="G20" s="248">
        <v>4.0011203999999996E-3</v>
      </c>
      <c r="H20" s="242">
        <v>39808</v>
      </c>
      <c r="I20" s="220"/>
      <c r="J20" s="225"/>
      <c r="K20" s="218"/>
      <c r="L20" s="220"/>
      <c r="M20" s="234"/>
      <c r="N20" s="234"/>
      <c r="O20" s="234"/>
      <c r="P20" s="234"/>
      <c r="Q20" s="234"/>
      <c r="R20" s="234"/>
      <c r="S20" s="234"/>
      <c r="T20" s="234"/>
      <c r="U20" s="234"/>
      <c r="V20" s="220"/>
      <c r="W20" s="220"/>
      <c r="X20" s="220"/>
      <c r="Y20" s="234"/>
      <c r="Z20" s="220"/>
      <c r="AA20" s="220"/>
      <c r="AB20" s="234"/>
      <c r="AC20" s="220"/>
      <c r="AD20" s="220"/>
      <c r="AE20" s="234"/>
      <c r="AF20" s="250"/>
      <c r="AG20" s="250"/>
      <c r="AH20" s="250"/>
      <c r="AI20" s="250"/>
      <c r="AJ20" s="250"/>
      <c r="AK20" s="250"/>
      <c r="AL20" s="150"/>
    </row>
    <row r="21" spans="2:38" x14ac:dyDescent="0.2">
      <c r="B21" s="214" t="s">
        <v>115</v>
      </c>
      <c r="C21" s="214" t="s">
        <v>127</v>
      </c>
      <c r="D21" s="232" t="s">
        <v>128</v>
      </c>
      <c r="E21" s="216" t="s">
        <v>527</v>
      </c>
      <c r="F21" s="216" t="s">
        <v>110</v>
      </c>
      <c r="G21" s="248">
        <v>1.145548</v>
      </c>
      <c r="H21" s="242">
        <v>8144000</v>
      </c>
      <c r="I21" s="220"/>
      <c r="J21" s="234"/>
      <c r="K21" s="218"/>
      <c r="L21" s="220"/>
      <c r="M21" s="234"/>
      <c r="N21" s="234"/>
      <c r="O21" s="234"/>
      <c r="P21" s="234"/>
      <c r="Q21" s="234"/>
      <c r="R21" s="234"/>
      <c r="S21" s="234"/>
      <c r="T21" s="234"/>
      <c r="U21" s="234"/>
      <c r="V21" s="220"/>
      <c r="W21" s="220"/>
      <c r="X21" s="220"/>
      <c r="Y21" s="234"/>
      <c r="Z21" s="220"/>
      <c r="AA21" s="220"/>
      <c r="AB21" s="234"/>
      <c r="AC21" s="220"/>
      <c r="AD21" s="220"/>
      <c r="AE21" s="225"/>
      <c r="AF21" s="250"/>
      <c r="AG21" s="250"/>
      <c r="AH21" s="250"/>
      <c r="AI21" s="250"/>
      <c r="AJ21" s="250"/>
      <c r="AK21" s="250"/>
      <c r="AL21" s="150"/>
    </row>
    <row r="22" spans="2:38" x14ac:dyDescent="0.2">
      <c r="B22" s="214" t="s">
        <v>115</v>
      </c>
      <c r="C22" s="214" t="s">
        <v>127</v>
      </c>
      <c r="D22" s="232" t="s">
        <v>129</v>
      </c>
      <c r="E22" s="216" t="s">
        <v>83</v>
      </c>
      <c r="F22" s="216" t="s">
        <v>130</v>
      </c>
      <c r="G22" s="248">
        <v>0.2666666667</v>
      </c>
      <c r="H22" s="242">
        <v>25425000</v>
      </c>
      <c r="I22" s="220"/>
      <c r="J22" s="234"/>
      <c r="K22" s="218"/>
      <c r="L22" s="220"/>
      <c r="M22" s="234"/>
      <c r="N22" s="234"/>
      <c r="O22" s="234"/>
      <c r="P22" s="234"/>
      <c r="Q22" s="234"/>
      <c r="R22" s="234"/>
      <c r="S22" s="234"/>
      <c r="T22" s="234"/>
      <c r="U22" s="234"/>
      <c r="V22" s="220"/>
      <c r="W22" s="220"/>
      <c r="X22" s="220"/>
      <c r="Y22" s="234"/>
      <c r="Z22" s="220"/>
      <c r="AA22" s="220"/>
      <c r="AB22" s="234"/>
      <c r="AC22" s="220"/>
      <c r="AD22" s="220"/>
      <c r="AE22" s="234"/>
      <c r="AF22" s="250"/>
      <c r="AG22" s="250"/>
      <c r="AH22" s="250"/>
      <c r="AI22" s="250"/>
      <c r="AJ22" s="250"/>
      <c r="AK22" s="250"/>
      <c r="AL22" s="150"/>
    </row>
    <row r="23" spans="2:38" x14ac:dyDescent="0.2">
      <c r="B23" s="214" t="s">
        <v>115</v>
      </c>
      <c r="C23" s="214" t="s">
        <v>127</v>
      </c>
      <c r="D23" s="232" t="s">
        <v>131</v>
      </c>
      <c r="E23" s="216" t="s">
        <v>83</v>
      </c>
      <c r="F23" s="216" t="s">
        <v>130</v>
      </c>
      <c r="G23" s="248">
        <v>0.2666666667</v>
      </c>
      <c r="H23" s="242">
        <v>34000000</v>
      </c>
      <c r="I23" s="220"/>
      <c r="J23" s="234"/>
      <c r="K23" s="218"/>
      <c r="L23" s="220"/>
      <c r="M23" s="234"/>
      <c r="N23" s="234"/>
      <c r="O23" s="234"/>
      <c r="P23" s="234"/>
      <c r="Q23" s="234"/>
      <c r="R23" s="234"/>
      <c r="S23" s="234"/>
      <c r="T23" s="234"/>
      <c r="U23" s="234"/>
      <c r="V23" s="220"/>
      <c r="W23" s="220"/>
      <c r="X23" s="220"/>
      <c r="Y23" s="234"/>
      <c r="Z23" s="220"/>
      <c r="AA23" s="220"/>
      <c r="AB23" s="234"/>
      <c r="AC23" s="220"/>
      <c r="AD23" s="220"/>
      <c r="AE23" s="234"/>
      <c r="AF23" s="250"/>
      <c r="AG23" s="250"/>
      <c r="AH23" s="250"/>
      <c r="AI23" s="250"/>
      <c r="AJ23" s="250"/>
      <c r="AK23" s="250"/>
      <c r="AL23" s="150"/>
    </row>
    <row r="24" spans="2:38" x14ac:dyDescent="0.2">
      <c r="B24" s="214" t="s">
        <v>132</v>
      </c>
      <c r="C24" s="214" t="s">
        <v>133</v>
      </c>
      <c r="D24" s="215" t="s">
        <v>134</v>
      </c>
      <c r="E24" s="216" t="s">
        <v>135</v>
      </c>
      <c r="F24" s="216" t="s">
        <v>136</v>
      </c>
      <c r="G24" s="248">
        <v>1.5352355099999999E-2</v>
      </c>
      <c r="H24" s="242">
        <v>48500000</v>
      </c>
      <c r="I24" s="220"/>
      <c r="J24" s="218"/>
      <c r="K24" s="218"/>
      <c r="L24" s="220"/>
      <c r="M24" s="234"/>
      <c r="N24" s="234"/>
      <c r="O24" s="234"/>
      <c r="P24" s="234"/>
      <c r="Q24" s="234"/>
      <c r="R24" s="234"/>
      <c r="S24" s="234"/>
      <c r="T24" s="234"/>
      <c r="U24" s="234"/>
      <c r="V24" s="220"/>
      <c r="W24" s="220"/>
      <c r="X24" s="220"/>
      <c r="Y24" s="234"/>
      <c r="Z24" s="220"/>
      <c r="AA24" s="220"/>
      <c r="AB24" s="234"/>
      <c r="AC24" s="220"/>
      <c r="AD24" s="220"/>
      <c r="AE24" s="234"/>
      <c r="AF24" s="250"/>
      <c r="AG24" s="250"/>
      <c r="AH24" s="250"/>
      <c r="AI24" s="250"/>
      <c r="AJ24" s="250"/>
      <c r="AK24" s="250"/>
      <c r="AL24" s="150"/>
    </row>
    <row r="25" spans="2:38" x14ac:dyDescent="0.2">
      <c r="B25" s="214" t="s">
        <v>132</v>
      </c>
      <c r="C25" s="214" t="s">
        <v>133</v>
      </c>
      <c r="D25" s="215" t="s">
        <v>137</v>
      </c>
      <c r="E25" s="216" t="s">
        <v>138</v>
      </c>
      <c r="F25" s="216" t="s">
        <v>136</v>
      </c>
      <c r="G25" s="248">
        <v>1.5352355099999999E-2</v>
      </c>
      <c r="H25" s="242">
        <v>10200000</v>
      </c>
      <c r="I25" s="218"/>
      <c r="J25" s="218"/>
      <c r="K25" s="218"/>
      <c r="L25" s="218"/>
      <c r="M25" s="225"/>
      <c r="N25" s="225"/>
      <c r="O25" s="218"/>
      <c r="P25" s="218"/>
      <c r="Q25" s="234"/>
      <c r="R25" s="234"/>
      <c r="S25" s="234"/>
      <c r="T25" s="234"/>
      <c r="U25" s="234"/>
      <c r="V25" s="220"/>
      <c r="W25" s="218"/>
      <c r="X25" s="218"/>
      <c r="Y25" s="234"/>
      <c r="Z25" s="218"/>
      <c r="AA25" s="218"/>
      <c r="AB25" s="234"/>
      <c r="AC25" s="218"/>
      <c r="AD25" s="218"/>
      <c r="AE25" s="225"/>
      <c r="AF25" s="249"/>
      <c r="AG25" s="249"/>
      <c r="AH25" s="249"/>
      <c r="AI25" s="249"/>
      <c r="AJ25" s="249"/>
      <c r="AK25" s="249"/>
      <c r="AL25" s="150"/>
    </row>
    <row r="26" spans="2:38" x14ac:dyDescent="0.2">
      <c r="B26" s="214" t="s">
        <v>132</v>
      </c>
      <c r="C26" s="214" t="s">
        <v>133</v>
      </c>
      <c r="D26" s="215" t="s">
        <v>140</v>
      </c>
      <c r="E26" s="216" t="s">
        <v>135</v>
      </c>
      <c r="F26" s="216" t="s">
        <v>136</v>
      </c>
      <c r="G26" s="248">
        <v>1.5352355099999999E-2</v>
      </c>
      <c r="H26" s="242">
        <v>18200000</v>
      </c>
      <c r="I26" s="218"/>
      <c r="J26" s="225"/>
      <c r="K26" s="218"/>
      <c r="L26" s="218"/>
      <c r="M26" s="234"/>
      <c r="N26" s="234"/>
      <c r="O26" s="225"/>
      <c r="P26" s="225"/>
      <c r="Q26" s="225"/>
      <c r="R26" s="225"/>
      <c r="S26" s="225"/>
      <c r="T26" s="225"/>
      <c r="U26" s="225"/>
      <c r="V26" s="218"/>
      <c r="W26" s="218"/>
      <c r="X26" s="218"/>
      <c r="Y26" s="234"/>
      <c r="Z26" s="218"/>
      <c r="AA26" s="218"/>
      <c r="AB26" s="234"/>
      <c r="AC26" s="218"/>
      <c r="AD26" s="218"/>
      <c r="AE26" s="225"/>
      <c r="AF26" s="249"/>
      <c r="AG26" s="249"/>
      <c r="AH26" s="249"/>
      <c r="AI26" s="249"/>
      <c r="AJ26" s="249"/>
      <c r="AK26" s="249"/>
      <c r="AL26" s="150"/>
    </row>
    <row r="27" spans="2:38" x14ac:dyDescent="0.2">
      <c r="B27" s="214" t="s">
        <v>132</v>
      </c>
      <c r="C27" s="214" t="s">
        <v>133</v>
      </c>
      <c r="D27" s="215" t="s">
        <v>141</v>
      </c>
      <c r="E27" s="216" t="s">
        <v>135</v>
      </c>
      <c r="F27" s="216" t="s">
        <v>136</v>
      </c>
      <c r="G27" s="248">
        <v>1.5351999999999999E-2</v>
      </c>
      <c r="H27" s="242">
        <v>308753400</v>
      </c>
      <c r="I27" s="220"/>
      <c r="J27" s="225"/>
      <c r="K27" s="218"/>
      <c r="L27" s="218"/>
      <c r="M27" s="234"/>
      <c r="N27" s="234"/>
      <c r="O27" s="218"/>
      <c r="P27" s="234"/>
      <c r="Q27" s="234"/>
      <c r="R27" s="234"/>
      <c r="S27" s="234"/>
      <c r="T27" s="234"/>
      <c r="U27" s="234"/>
      <c r="V27" s="220"/>
      <c r="W27" s="218"/>
      <c r="X27" s="218"/>
      <c r="Y27" s="234"/>
      <c r="Z27" s="218"/>
      <c r="AA27" s="218"/>
      <c r="AB27" s="218"/>
      <c r="AC27" s="218"/>
      <c r="AD27" s="218"/>
      <c r="AE27" s="225"/>
      <c r="AF27" s="249"/>
      <c r="AG27" s="249"/>
      <c r="AH27" s="249"/>
      <c r="AI27" s="249"/>
      <c r="AJ27" s="249"/>
      <c r="AK27" s="249"/>
      <c r="AL27" s="150"/>
    </row>
    <row r="28" spans="2:38" x14ac:dyDescent="0.2">
      <c r="B28" s="214" t="s">
        <v>132</v>
      </c>
      <c r="C28" s="214" t="s">
        <v>133</v>
      </c>
      <c r="D28" s="215" t="s">
        <v>142</v>
      </c>
      <c r="E28" s="216" t="s">
        <v>135</v>
      </c>
      <c r="F28" s="216" t="s">
        <v>136</v>
      </c>
      <c r="G28" s="248">
        <v>1.5351999999999999E-2</v>
      </c>
      <c r="H28" s="242">
        <f>2097698/101.9%</f>
        <v>2058584.8871442587</v>
      </c>
      <c r="I28" s="220"/>
      <c r="J28" s="225"/>
      <c r="K28" s="218"/>
      <c r="L28" s="218"/>
      <c r="M28" s="225"/>
      <c r="N28" s="234"/>
      <c r="O28" s="225"/>
      <c r="P28" s="234"/>
      <c r="Q28" s="234"/>
      <c r="R28" s="234"/>
      <c r="S28" s="234"/>
      <c r="T28" s="234"/>
      <c r="U28" s="234"/>
      <c r="V28" s="218"/>
      <c r="W28" s="218"/>
      <c r="X28" s="218"/>
      <c r="Y28" s="234"/>
      <c r="Z28" s="218"/>
      <c r="AA28" s="218"/>
      <c r="AB28" s="234"/>
      <c r="AC28" s="218"/>
      <c r="AD28" s="218"/>
      <c r="AE28" s="225"/>
      <c r="AF28" s="249"/>
      <c r="AG28" s="249"/>
      <c r="AH28" s="249"/>
      <c r="AI28" s="249"/>
      <c r="AJ28" s="249"/>
      <c r="AK28" s="249"/>
      <c r="AL28" s="150"/>
    </row>
    <row r="29" spans="2:38" ht="17.25" customHeight="1" x14ac:dyDescent="0.2">
      <c r="B29" s="214" t="s">
        <v>132</v>
      </c>
      <c r="C29" s="214" t="s">
        <v>133</v>
      </c>
      <c r="D29" s="215" t="s">
        <v>143</v>
      </c>
      <c r="E29" s="216" t="s">
        <v>529</v>
      </c>
      <c r="F29" s="216" t="s">
        <v>136</v>
      </c>
      <c r="G29" s="248">
        <v>1.5352355099999999E-2</v>
      </c>
      <c r="H29" s="242">
        <v>65700000</v>
      </c>
      <c r="I29" s="218"/>
      <c r="J29" s="225"/>
      <c r="K29" s="218"/>
      <c r="L29" s="218"/>
      <c r="M29" s="234"/>
      <c r="N29" s="234"/>
      <c r="O29" s="225"/>
      <c r="P29" s="225"/>
      <c r="Q29" s="225"/>
      <c r="R29" s="225"/>
      <c r="S29" s="225"/>
      <c r="T29" s="225"/>
      <c r="U29" s="234"/>
      <c r="V29" s="218"/>
      <c r="W29" s="218"/>
      <c r="X29" s="218"/>
      <c r="Y29" s="234"/>
      <c r="Z29" s="218"/>
      <c r="AA29" s="218"/>
      <c r="AB29" s="234"/>
      <c r="AC29" s="218"/>
      <c r="AD29" s="218"/>
      <c r="AE29" s="225"/>
      <c r="AF29" s="249"/>
      <c r="AG29" s="249"/>
      <c r="AH29" s="249"/>
      <c r="AI29" s="249"/>
      <c r="AJ29" s="249"/>
      <c r="AK29" s="249"/>
      <c r="AL29" s="150"/>
    </row>
    <row r="30" spans="2:38" x14ac:dyDescent="0.2">
      <c r="B30" s="214" t="s">
        <v>132</v>
      </c>
      <c r="C30" s="214" t="s">
        <v>133</v>
      </c>
      <c r="D30" s="215" t="s">
        <v>145</v>
      </c>
      <c r="E30" s="216" t="s">
        <v>91</v>
      </c>
      <c r="F30" s="216" t="s">
        <v>136</v>
      </c>
      <c r="G30" s="248">
        <v>1.5417999999999999E-2</v>
      </c>
      <c r="H30" s="242">
        <v>22881410</v>
      </c>
      <c r="I30" s="220"/>
      <c r="J30" s="218"/>
      <c r="K30" s="218"/>
      <c r="L30" s="218"/>
      <c r="M30" s="234"/>
      <c r="N30" s="225"/>
      <c r="O30" s="225"/>
      <c r="P30" s="234"/>
      <c r="Q30" s="234"/>
      <c r="R30" s="234"/>
      <c r="S30" s="234"/>
      <c r="T30" s="234"/>
      <c r="U30" s="234"/>
      <c r="V30" s="218"/>
      <c r="W30" s="218"/>
      <c r="X30" s="218"/>
      <c r="Y30" s="234"/>
      <c r="Z30" s="218"/>
      <c r="AA30" s="218"/>
      <c r="AB30" s="234"/>
      <c r="AC30" s="218"/>
      <c r="AD30" s="218"/>
      <c r="AE30" s="225"/>
      <c r="AF30" s="249"/>
      <c r="AG30" s="249"/>
      <c r="AH30" s="249"/>
      <c r="AI30" s="249"/>
      <c r="AJ30" s="249"/>
      <c r="AK30" s="249"/>
      <c r="AL30" s="150"/>
    </row>
    <row r="31" spans="2:38" x14ac:dyDescent="0.2">
      <c r="B31" s="214" t="s">
        <v>132</v>
      </c>
      <c r="C31" s="214" t="s">
        <v>146</v>
      </c>
      <c r="D31" s="232" t="s">
        <v>147</v>
      </c>
      <c r="E31" s="216" t="s">
        <v>148</v>
      </c>
      <c r="F31" s="216" t="s">
        <v>149</v>
      </c>
      <c r="G31" s="248">
        <v>9.7471189000000007E-3</v>
      </c>
      <c r="H31" s="242">
        <v>3150000</v>
      </c>
      <c r="I31" s="220"/>
      <c r="J31" s="234"/>
      <c r="K31" s="218"/>
      <c r="L31" s="220"/>
      <c r="M31" s="234"/>
      <c r="N31" s="234"/>
      <c r="O31" s="234"/>
      <c r="P31" s="234"/>
      <c r="Q31" s="234"/>
      <c r="R31" s="234"/>
      <c r="S31" s="234"/>
      <c r="T31" s="234"/>
      <c r="U31" s="234"/>
      <c r="V31" s="220"/>
      <c r="W31" s="218"/>
      <c r="X31" s="220"/>
      <c r="Y31" s="234"/>
      <c r="Z31" s="220"/>
      <c r="AA31" s="220"/>
      <c r="AB31" s="234"/>
      <c r="AC31" s="220"/>
      <c r="AD31" s="218"/>
      <c r="AE31" s="234"/>
      <c r="AF31" s="250"/>
      <c r="AG31" s="250"/>
      <c r="AH31" s="250"/>
      <c r="AI31" s="250"/>
      <c r="AJ31" s="250"/>
      <c r="AK31" s="250"/>
      <c r="AL31" s="150"/>
    </row>
    <row r="32" spans="2:38" x14ac:dyDescent="0.2">
      <c r="B32" s="214" t="s">
        <v>132</v>
      </c>
      <c r="C32" s="214" t="s">
        <v>150</v>
      </c>
      <c r="D32" s="215" t="s">
        <v>151</v>
      </c>
      <c r="E32" s="216" t="s">
        <v>527</v>
      </c>
      <c r="F32" s="216" t="s">
        <v>152</v>
      </c>
      <c r="G32" s="248">
        <v>5.4679999999999998E-3</v>
      </c>
      <c r="H32" s="242">
        <v>10880000</v>
      </c>
      <c r="I32" s="220"/>
      <c r="J32" s="225"/>
      <c r="K32" s="218"/>
      <c r="L32" s="218"/>
      <c r="M32" s="234"/>
      <c r="N32" s="225"/>
      <c r="O32" s="225"/>
      <c r="P32" s="234"/>
      <c r="Q32" s="234"/>
      <c r="R32" s="234"/>
      <c r="S32" s="234"/>
      <c r="T32" s="234"/>
      <c r="U32" s="234"/>
      <c r="V32" s="218"/>
      <c r="W32" s="218"/>
      <c r="X32" s="218"/>
      <c r="Y32" s="234"/>
      <c r="Z32" s="218"/>
      <c r="AA32" s="218"/>
      <c r="AB32" s="225"/>
      <c r="AC32" s="218"/>
      <c r="AD32" s="218"/>
      <c r="AE32" s="225"/>
      <c r="AF32" s="249"/>
      <c r="AG32" s="249"/>
      <c r="AH32" s="249"/>
      <c r="AI32" s="249"/>
      <c r="AJ32" s="249"/>
      <c r="AK32" s="249"/>
      <c r="AL32" s="150"/>
    </row>
    <row r="33" spans="2:38" x14ac:dyDescent="0.2">
      <c r="B33" s="214" t="s">
        <v>153</v>
      </c>
      <c r="C33" s="214" t="s">
        <v>154</v>
      </c>
      <c r="D33" s="215" t="s">
        <v>155</v>
      </c>
      <c r="E33" s="216" t="s">
        <v>527</v>
      </c>
      <c r="F33" s="216" t="s">
        <v>156</v>
      </c>
      <c r="G33" s="251">
        <v>6.9999999999999994E-5</v>
      </c>
      <c r="H33" s="242">
        <v>96652313</v>
      </c>
      <c r="I33" s="220"/>
      <c r="J33" s="225"/>
      <c r="K33" s="218"/>
      <c r="L33" s="218"/>
      <c r="M33" s="225"/>
      <c r="N33" s="225"/>
      <c r="O33" s="225"/>
      <c r="P33" s="234"/>
      <c r="Q33" s="234"/>
      <c r="R33" s="234"/>
      <c r="S33" s="234"/>
      <c r="T33" s="234"/>
      <c r="U33" s="225"/>
      <c r="V33" s="218"/>
      <c r="W33" s="218"/>
      <c r="X33" s="218"/>
      <c r="Y33" s="234"/>
      <c r="Z33" s="218"/>
      <c r="AA33" s="218"/>
      <c r="AB33" s="225"/>
      <c r="AC33" s="218"/>
      <c r="AD33" s="218"/>
      <c r="AE33" s="225"/>
      <c r="AF33" s="249"/>
      <c r="AG33" s="249"/>
      <c r="AH33" s="249"/>
      <c r="AI33" s="249"/>
      <c r="AJ33" s="249"/>
      <c r="AK33" s="249"/>
      <c r="AL33" s="150"/>
    </row>
    <row r="34" spans="2:38" x14ac:dyDescent="0.2">
      <c r="B34" s="214" t="s">
        <v>153</v>
      </c>
      <c r="C34" s="214" t="s">
        <v>154</v>
      </c>
      <c r="D34" s="215" t="s">
        <v>157</v>
      </c>
      <c r="E34" s="216" t="s">
        <v>527</v>
      </c>
      <c r="F34" s="216" t="s">
        <v>156</v>
      </c>
      <c r="G34" s="251">
        <v>6.9999999999999994E-5</v>
      </c>
      <c r="H34" s="242">
        <v>111454000</v>
      </c>
      <c r="I34" s="220"/>
      <c r="J34" s="225"/>
      <c r="K34" s="218"/>
      <c r="L34" s="218"/>
      <c r="M34" s="225"/>
      <c r="N34" s="225"/>
      <c r="O34" s="225"/>
      <c r="P34" s="234"/>
      <c r="Q34" s="234"/>
      <c r="R34" s="234"/>
      <c r="S34" s="234"/>
      <c r="T34" s="234"/>
      <c r="U34" s="225"/>
      <c r="V34" s="218"/>
      <c r="W34" s="218"/>
      <c r="X34" s="220"/>
      <c r="Y34" s="234"/>
      <c r="Z34" s="220"/>
      <c r="AA34" s="218"/>
      <c r="AB34" s="225"/>
      <c r="AC34" s="220"/>
      <c r="AD34" s="218"/>
      <c r="AE34" s="225"/>
      <c r="AF34" s="249"/>
      <c r="AG34" s="249"/>
      <c r="AH34" s="249"/>
      <c r="AI34" s="249"/>
      <c r="AJ34" s="249"/>
      <c r="AK34" s="249"/>
      <c r="AL34" s="150"/>
    </row>
    <row r="35" spans="2:38" x14ac:dyDescent="0.2">
      <c r="B35" s="214" t="s">
        <v>153</v>
      </c>
      <c r="C35" s="214" t="s">
        <v>154</v>
      </c>
      <c r="D35" s="232" t="s">
        <v>158</v>
      </c>
      <c r="E35" s="216" t="s">
        <v>66</v>
      </c>
      <c r="F35" s="216" t="s">
        <v>156</v>
      </c>
      <c r="G35" s="252">
        <v>7.4076800000000002E-5</v>
      </c>
      <c r="H35" s="242">
        <v>6100000</v>
      </c>
      <c r="I35" s="220"/>
      <c r="J35" s="225"/>
      <c r="K35" s="218"/>
      <c r="L35" s="220"/>
      <c r="M35" s="234"/>
      <c r="N35" s="234"/>
      <c r="O35" s="234"/>
      <c r="P35" s="234"/>
      <c r="Q35" s="234"/>
      <c r="R35" s="234"/>
      <c r="S35" s="234"/>
      <c r="T35" s="234"/>
      <c r="U35" s="234"/>
      <c r="V35" s="220"/>
      <c r="W35" s="220"/>
      <c r="X35" s="220"/>
      <c r="Y35" s="234"/>
      <c r="Z35" s="220"/>
      <c r="AA35" s="220"/>
      <c r="AB35" s="234"/>
      <c r="AC35" s="220"/>
      <c r="AD35" s="220"/>
      <c r="AE35" s="234"/>
      <c r="AF35" s="250"/>
      <c r="AG35" s="250"/>
      <c r="AH35" s="250"/>
      <c r="AI35" s="250"/>
      <c r="AJ35" s="250"/>
      <c r="AK35" s="250"/>
      <c r="AL35" s="150"/>
    </row>
    <row r="36" spans="2:38" x14ac:dyDescent="0.2">
      <c r="B36" s="214" t="s">
        <v>153</v>
      </c>
      <c r="C36" s="214" t="s">
        <v>159</v>
      </c>
      <c r="D36" s="215" t="s">
        <v>160</v>
      </c>
      <c r="E36" s="216" t="s">
        <v>528</v>
      </c>
      <c r="F36" s="216" t="s">
        <v>161</v>
      </c>
      <c r="G36" s="248">
        <v>3.0941E-2</v>
      </c>
      <c r="H36" s="242">
        <v>139518488</v>
      </c>
      <c r="I36" s="220"/>
      <c r="J36" s="225"/>
      <c r="K36" s="218"/>
      <c r="L36" s="218"/>
      <c r="M36" s="225"/>
      <c r="N36" s="225"/>
      <c r="O36" s="225"/>
      <c r="P36" s="234"/>
      <c r="Q36" s="234"/>
      <c r="R36" s="234"/>
      <c r="S36" s="234"/>
      <c r="T36" s="234"/>
      <c r="U36" s="234"/>
      <c r="V36" s="220"/>
      <c r="W36" s="218"/>
      <c r="X36" s="218"/>
      <c r="Y36" s="234"/>
      <c r="Z36" s="218"/>
      <c r="AA36" s="218"/>
      <c r="AB36" s="225"/>
      <c r="AC36" s="218"/>
      <c r="AD36" s="218"/>
      <c r="AE36" s="225"/>
      <c r="AF36" s="249"/>
      <c r="AG36" s="249"/>
      <c r="AH36" s="249"/>
      <c r="AI36" s="249"/>
      <c r="AJ36" s="249"/>
      <c r="AK36" s="249"/>
      <c r="AL36" s="168"/>
    </row>
    <row r="37" spans="2:38" x14ac:dyDescent="0.2">
      <c r="B37" s="214" t="s">
        <v>153</v>
      </c>
      <c r="C37" s="214" t="s">
        <v>159</v>
      </c>
      <c r="D37" s="232" t="s">
        <v>163</v>
      </c>
      <c r="E37" s="216" t="s">
        <v>527</v>
      </c>
      <c r="F37" s="216" t="s">
        <v>161</v>
      </c>
      <c r="G37" s="248">
        <v>3.0941E-2</v>
      </c>
      <c r="H37" s="242">
        <f>(2600+96+84)*1000</f>
        <v>2780000</v>
      </c>
      <c r="I37" s="220"/>
      <c r="J37" s="234"/>
      <c r="K37" s="218"/>
      <c r="L37" s="220"/>
      <c r="M37" s="225"/>
      <c r="N37" s="234"/>
      <c r="O37" s="234"/>
      <c r="P37" s="234"/>
      <c r="Q37" s="234"/>
      <c r="R37" s="234"/>
      <c r="S37" s="234"/>
      <c r="T37" s="234"/>
      <c r="U37" s="234"/>
      <c r="V37" s="220"/>
      <c r="W37" s="220"/>
      <c r="X37" s="220"/>
      <c r="Y37" s="234"/>
      <c r="Z37" s="220"/>
      <c r="AA37" s="220"/>
      <c r="AB37" s="234"/>
      <c r="AC37" s="220"/>
      <c r="AD37" s="220"/>
      <c r="AE37" s="234"/>
      <c r="AF37" s="250"/>
      <c r="AG37" s="250"/>
      <c r="AH37" s="250"/>
      <c r="AI37" s="250"/>
      <c r="AJ37" s="250"/>
      <c r="AK37" s="250"/>
      <c r="AL37" s="168"/>
    </row>
    <row r="38" spans="2:38" x14ac:dyDescent="0.2">
      <c r="B38" s="214" t="s">
        <v>153</v>
      </c>
      <c r="C38" s="214" t="s">
        <v>164</v>
      </c>
      <c r="D38" s="232" t="s">
        <v>165</v>
      </c>
      <c r="E38" s="216" t="s">
        <v>527</v>
      </c>
      <c r="F38" s="216" t="s">
        <v>110</v>
      </c>
      <c r="G38" s="248">
        <v>1.145548</v>
      </c>
      <c r="H38" s="242">
        <v>10554000</v>
      </c>
      <c r="I38" s="220"/>
      <c r="J38" s="234"/>
      <c r="K38" s="218"/>
      <c r="L38" s="220"/>
      <c r="M38" s="234"/>
      <c r="N38" s="234"/>
      <c r="O38" s="234"/>
      <c r="P38" s="234"/>
      <c r="Q38" s="234"/>
      <c r="R38" s="234"/>
      <c r="S38" s="234"/>
      <c r="T38" s="234"/>
      <c r="U38" s="234"/>
      <c r="V38" s="220"/>
      <c r="W38" s="220"/>
      <c r="X38" s="220"/>
      <c r="Y38" s="234"/>
      <c r="Z38" s="220"/>
      <c r="AA38" s="220"/>
      <c r="AB38" s="234"/>
      <c r="AC38" s="220"/>
      <c r="AD38" s="220"/>
      <c r="AE38" s="234"/>
      <c r="AF38" s="250"/>
      <c r="AG38" s="250"/>
      <c r="AH38" s="250"/>
      <c r="AI38" s="250"/>
      <c r="AJ38" s="250"/>
      <c r="AK38" s="250"/>
      <c r="AL38" s="150"/>
    </row>
    <row r="39" spans="2:38" x14ac:dyDescent="0.2">
      <c r="B39" s="214" t="s">
        <v>153</v>
      </c>
      <c r="C39" s="214" t="s">
        <v>166</v>
      </c>
      <c r="D39" s="215" t="s">
        <v>167</v>
      </c>
      <c r="E39" s="216" t="s">
        <v>527</v>
      </c>
      <c r="F39" s="216" t="s">
        <v>168</v>
      </c>
      <c r="G39" s="248">
        <v>1.9050999999999998E-2</v>
      </c>
      <c r="H39" s="242">
        <v>11500000</v>
      </c>
      <c r="I39" s="220"/>
      <c r="J39" s="225"/>
      <c r="K39" s="218"/>
      <c r="L39" s="218"/>
      <c r="M39" s="225"/>
      <c r="N39" s="234"/>
      <c r="O39" s="225"/>
      <c r="P39" s="234"/>
      <c r="Q39" s="234"/>
      <c r="R39" s="234"/>
      <c r="S39" s="234"/>
      <c r="T39" s="234"/>
      <c r="U39" s="234"/>
      <c r="V39" s="220"/>
      <c r="W39" s="220"/>
      <c r="X39" s="220"/>
      <c r="Y39" s="234"/>
      <c r="Z39" s="220"/>
      <c r="AA39" s="220"/>
      <c r="AB39" s="234"/>
      <c r="AC39" s="220"/>
      <c r="AD39" s="220"/>
      <c r="AE39" s="225"/>
      <c r="AF39" s="250"/>
      <c r="AG39" s="250"/>
      <c r="AH39" s="250"/>
      <c r="AI39" s="250"/>
      <c r="AJ39" s="250"/>
      <c r="AK39" s="250"/>
      <c r="AL39" s="150"/>
    </row>
    <row r="40" spans="2:38" x14ac:dyDescent="0.2">
      <c r="B40" s="214" t="s">
        <v>153</v>
      </c>
      <c r="C40" s="214" t="s">
        <v>166</v>
      </c>
      <c r="D40" s="232" t="s">
        <v>169</v>
      </c>
      <c r="E40" s="216" t="s">
        <v>527</v>
      </c>
      <c r="F40" s="216" t="s">
        <v>168</v>
      </c>
      <c r="G40" s="248">
        <v>1.9050999999999998E-2</v>
      </c>
      <c r="H40" s="245">
        <v>45082544</v>
      </c>
      <c r="I40" s="220"/>
      <c r="J40" s="234"/>
      <c r="K40" s="218"/>
      <c r="L40" s="218"/>
      <c r="M40" s="234"/>
      <c r="N40" s="225"/>
      <c r="O40" s="225"/>
      <c r="P40" s="234"/>
      <c r="Q40" s="234"/>
      <c r="R40" s="234"/>
      <c r="S40" s="234"/>
      <c r="T40" s="234"/>
      <c r="U40" s="234"/>
      <c r="V40" s="218"/>
      <c r="W40" s="218"/>
      <c r="X40" s="218"/>
      <c r="Y40" s="234"/>
      <c r="Z40" s="218"/>
      <c r="AA40" s="218"/>
      <c r="AB40" s="234"/>
      <c r="AC40" s="218"/>
      <c r="AD40" s="218"/>
      <c r="AE40" s="225"/>
      <c r="AF40" s="249"/>
      <c r="AG40" s="249"/>
      <c r="AH40" s="249"/>
      <c r="AI40" s="249"/>
      <c r="AJ40" s="249"/>
      <c r="AK40" s="249"/>
      <c r="AL40" s="150"/>
    </row>
    <row r="41" spans="2:38" x14ac:dyDescent="0.2">
      <c r="B41" s="214" t="s">
        <v>153</v>
      </c>
      <c r="C41" s="214" t="s">
        <v>166</v>
      </c>
      <c r="D41" s="215" t="s">
        <v>170</v>
      </c>
      <c r="E41" s="216" t="s">
        <v>83</v>
      </c>
      <c r="F41" s="216" t="s">
        <v>168</v>
      </c>
      <c r="G41" s="248">
        <v>1.9982162800000002E-2</v>
      </c>
      <c r="H41" s="242">
        <f>1083188+431343</f>
        <v>1514531</v>
      </c>
      <c r="I41" s="220"/>
      <c r="J41" s="225"/>
      <c r="K41" s="218"/>
      <c r="L41" s="218"/>
      <c r="M41" s="234"/>
      <c r="N41" s="225"/>
      <c r="O41" s="225"/>
      <c r="P41" s="234"/>
      <c r="Q41" s="234"/>
      <c r="R41" s="234"/>
      <c r="S41" s="234"/>
      <c r="T41" s="234"/>
      <c r="U41" s="225"/>
      <c r="V41" s="218"/>
      <c r="W41" s="218"/>
      <c r="X41" s="220"/>
      <c r="Y41" s="234"/>
      <c r="Z41" s="218"/>
      <c r="AA41" s="218"/>
      <c r="AB41" s="234"/>
      <c r="AC41" s="220"/>
      <c r="AD41" s="218"/>
      <c r="AE41" s="225"/>
      <c r="AF41" s="249"/>
      <c r="AG41" s="249"/>
      <c r="AH41" s="249"/>
      <c r="AI41" s="249"/>
      <c r="AJ41" s="249"/>
      <c r="AK41" s="249"/>
      <c r="AL41" s="150"/>
    </row>
    <row r="42" spans="2:38" ht="17.25" customHeight="1" x14ac:dyDescent="0.2">
      <c r="B42" s="214" t="s">
        <v>153</v>
      </c>
      <c r="C42" s="214" t="s">
        <v>171</v>
      </c>
      <c r="D42" s="243" t="s">
        <v>172</v>
      </c>
      <c r="E42" s="216" t="s">
        <v>527</v>
      </c>
      <c r="F42" s="216" t="s">
        <v>173</v>
      </c>
      <c r="G42" s="248">
        <v>0.24195</v>
      </c>
      <c r="H42" s="242">
        <v>96600000</v>
      </c>
      <c r="I42" s="220"/>
      <c r="J42" s="234"/>
      <c r="K42" s="218"/>
      <c r="L42" s="218"/>
      <c r="M42" s="225"/>
      <c r="N42" s="225"/>
      <c r="O42" s="225"/>
      <c r="P42" s="234"/>
      <c r="Q42" s="234"/>
      <c r="R42" s="234"/>
      <c r="S42" s="234"/>
      <c r="T42" s="225"/>
      <c r="U42" s="234"/>
      <c r="V42" s="218"/>
      <c r="W42" s="218"/>
      <c r="X42" s="218"/>
      <c r="Y42" s="234"/>
      <c r="Z42" s="218"/>
      <c r="AA42" s="218"/>
      <c r="AB42" s="234"/>
      <c r="AC42" s="218"/>
      <c r="AD42" s="218"/>
      <c r="AE42" s="225"/>
      <c r="AF42" s="250"/>
      <c r="AG42" s="250"/>
      <c r="AH42" s="250"/>
      <c r="AI42" s="250"/>
      <c r="AJ42" s="250"/>
      <c r="AK42" s="250"/>
      <c r="AL42" s="150"/>
    </row>
    <row r="43" spans="2:38" x14ac:dyDescent="0.2">
      <c r="B43" s="214" t="s">
        <v>153</v>
      </c>
      <c r="C43" s="214" t="s">
        <v>171</v>
      </c>
      <c r="D43" s="215" t="s">
        <v>174</v>
      </c>
      <c r="E43" s="216" t="s">
        <v>83</v>
      </c>
      <c r="F43" s="216" t="s">
        <v>173</v>
      </c>
      <c r="G43" s="248">
        <v>0.24712689509999999</v>
      </c>
      <c r="H43" s="242">
        <v>58500000</v>
      </c>
      <c r="I43" s="220"/>
      <c r="J43" s="225"/>
      <c r="K43" s="220"/>
      <c r="L43" s="220"/>
      <c r="M43" s="234"/>
      <c r="N43" s="234"/>
      <c r="O43" s="234"/>
      <c r="P43" s="234"/>
      <c r="Q43" s="234"/>
      <c r="R43" s="234"/>
      <c r="S43" s="234"/>
      <c r="T43" s="225"/>
      <c r="U43" s="234"/>
      <c r="V43" s="220"/>
      <c r="W43" s="220"/>
      <c r="X43" s="220"/>
      <c r="Y43" s="234"/>
      <c r="Z43" s="220"/>
      <c r="AA43" s="220"/>
      <c r="AB43" s="234"/>
      <c r="AC43" s="220"/>
      <c r="AD43" s="220"/>
      <c r="AE43" s="234"/>
      <c r="AF43" s="250"/>
      <c r="AG43" s="250"/>
      <c r="AH43" s="250"/>
      <c r="AI43" s="250"/>
      <c r="AJ43" s="250"/>
      <c r="AK43" s="250"/>
      <c r="AL43" s="150"/>
    </row>
    <row r="44" spans="2:38" x14ac:dyDescent="0.2">
      <c r="B44" s="214" t="s">
        <v>153</v>
      </c>
      <c r="C44" s="214" t="s">
        <v>171</v>
      </c>
      <c r="D44" s="232" t="s">
        <v>175</v>
      </c>
      <c r="E44" s="216" t="s">
        <v>527</v>
      </c>
      <c r="F44" s="216" t="s">
        <v>173</v>
      </c>
      <c r="G44" s="248">
        <v>0.24712689509999999</v>
      </c>
      <c r="H44" s="242">
        <v>3500000</v>
      </c>
      <c r="I44" s="220"/>
      <c r="J44" s="234"/>
      <c r="K44" s="218"/>
      <c r="L44" s="218"/>
      <c r="M44" s="234"/>
      <c r="N44" s="234"/>
      <c r="O44" s="225"/>
      <c r="P44" s="234"/>
      <c r="Q44" s="234"/>
      <c r="R44" s="234"/>
      <c r="S44" s="234"/>
      <c r="T44" s="234"/>
      <c r="U44" s="234"/>
      <c r="V44" s="220"/>
      <c r="W44" s="220"/>
      <c r="X44" s="220"/>
      <c r="Y44" s="234"/>
      <c r="Z44" s="220"/>
      <c r="AA44" s="220"/>
      <c r="AB44" s="234"/>
      <c r="AC44" s="220"/>
      <c r="AD44" s="220"/>
      <c r="AE44" s="234"/>
      <c r="AF44" s="250"/>
      <c r="AG44" s="250"/>
      <c r="AH44" s="250"/>
      <c r="AI44" s="250"/>
      <c r="AJ44" s="250"/>
      <c r="AK44" s="250"/>
      <c r="AL44" s="150"/>
    </row>
    <row r="45" spans="2:38" x14ac:dyDescent="0.2">
      <c r="B45" s="214" t="s">
        <v>153</v>
      </c>
      <c r="C45" s="214" t="s">
        <v>176</v>
      </c>
      <c r="D45" s="215" t="s">
        <v>177</v>
      </c>
      <c r="E45" s="216" t="s">
        <v>527</v>
      </c>
      <c r="F45" s="216" t="s">
        <v>178</v>
      </c>
      <c r="G45" s="253">
        <v>4.3000000000000002E-5</v>
      </c>
      <c r="H45" s="242">
        <v>94100000</v>
      </c>
      <c r="I45" s="220"/>
      <c r="J45" s="234"/>
      <c r="K45" s="218"/>
      <c r="L45" s="218"/>
      <c r="M45" s="234"/>
      <c r="N45" s="234"/>
      <c r="O45" s="225"/>
      <c r="P45" s="234"/>
      <c r="Q45" s="234"/>
      <c r="R45" s="234"/>
      <c r="S45" s="234"/>
      <c r="T45" s="234"/>
      <c r="U45" s="225"/>
      <c r="V45" s="220"/>
      <c r="W45" s="218"/>
      <c r="X45" s="218"/>
      <c r="Y45" s="234"/>
      <c r="Z45" s="218"/>
      <c r="AA45" s="218"/>
      <c r="AB45" s="225"/>
      <c r="AC45" s="218"/>
      <c r="AD45" s="218"/>
      <c r="AE45" s="225"/>
      <c r="AF45" s="249"/>
      <c r="AG45" s="249"/>
      <c r="AH45" s="249"/>
      <c r="AI45" s="249"/>
      <c r="AJ45" s="249"/>
      <c r="AK45" s="249"/>
      <c r="AL45" s="169"/>
    </row>
    <row r="46" spans="2:38" x14ac:dyDescent="0.2">
      <c r="B46" s="214" t="s">
        <v>153</v>
      </c>
      <c r="C46" s="214" t="s">
        <v>179</v>
      </c>
      <c r="D46" s="215" t="s">
        <v>1025</v>
      </c>
      <c r="E46" s="216" t="s">
        <v>135</v>
      </c>
      <c r="F46" s="216" t="s">
        <v>181</v>
      </c>
      <c r="G46" s="248">
        <v>0.7627306479</v>
      </c>
      <c r="H46" s="242">
        <v>62972068</v>
      </c>
      <c r="I46" s="220"/>
      <c r="J46" s="225"/>
      <c r="K46" s="218"/>
      <c r="L46" s="218"/>
      <c r="M46" s="234"/>
      <c r="N46" s="234"/>
      <c r="O46" s="225"/>
      <c r="P46" s="234"/>
      <c r="Q46" s="234"/>
      <c r="R46" s="234"/>
      <c r="S46" s="234"/>
      <c r="T46" s="254"/>
      <c r="U46" s="234"/>
      <c r="V46" s="220"/>
      <c r="W46" s="218"/>
      <c r="X46" s="218"/>
      <c r="Y46" s="234"/>
      <c r="Z46" s="218"/>
      <c r="AA46" s="218"/>
      <c r="AB46" s="225"/>
      <c r="AC46" s="218"/>
      <c r="AD46" s="218"/>
      <c r="AE46" s="225"/>
      <c r="AF46" s="249"/>
      <c r="AG46" s="249"/>
      <c r="AH46" s="249"/>
      <c r="AI46" s="249"/>
      <c r="AJ46" s="249"/>
      <c r="AK46" s="249"/>
      <c r="AL46" s="169"/>
    </row>
    <row r="47" spans="2:38" x14ac:dyDescent="0.2">
      <c r="B47" s="214" t="s">
        <v>182</v>
      </c>
      <c r="C47" s="214" t="s">
        <v>183</v>
      </c>
      <c r="D47" s="215" t="s">
        <v>184</v>
      </c>
      <c r="E47" s="216" t="s">
        <v>527</v>
      </c>
      <c r="F47" s="216" t="s">
        <v>185</v>
      </c>
      <c r="G47" s="248">
        <v>0.14538400000000001</v>
      </c>
      <c r="H47" s="242">
        <f>6758.56*10000</f>
        <v>67585600</v>
      </c>
      <c r="I47" s="220"/>
      <c r="J47" s="225"/>
      <c r="K47" s="218"/>
      <c r="L47" s="220"/>
      <c r="M47" s="225"/>
      <c r="N47" s="225"/>
      <c r="O47" s="234"/>
      <c r="P47" s="234"/>
      <c r="Q47" s="234"/>
      <c r="R47" s="234"/>
      <c r="S47" s="234"/>
      <c r="T47" s="234"/>
      <c r="U47" s="225"/>
      <c r="V47" s="218"/>
      <c r="W47" s="218"/>
      <c r="X47" s="218"/>
      <c r="Y47" s="234"/>
      <c r="Z47" s="218"/>
      <c r="AA47" s="218"/>
      <c r="AB47" s="234"/>
      <c r="AC47" s="218"/>
      <c r="AD47" s="218"/>
      <c r="AE47" s="225"/>
      <c r="AF47" s="249"/>
      <c r="AG47" s="249"/>
      <c r="AH47" s="249"/>
      <c r="AI47" s="249"/>
      <c r="AJ47" s="249"/>
      <c r="AK47" s="249"/>
      <c r="AL47" s="169"/>
    </row>
    <row r="48" spans="2:38" x14ac:dyDescent="0.2">
      <c r="B48" s="214" t="s">
        <v>182</v>
      </c>
      <c r="C48" s="214" t="s">
        <v>183</v>
      </c>
      <c r="D48" s="215" t="s">
        <v>186</v>
      </c>
      <c r="E48" s="216" t="s">
        <v>527</v>
      </c>
      <c r="F48" s="216" t="s">
        <v>185</v>
      </c>
      <c r="G48" s="248">
        <v>0.14538400000000001</v>
      </c>
      <c r="H48" s="242">
        <f>2655.34*10000</f>
        <v>26553400</v>
      </c>
      <c r="I48" s="220"/>
      <c r="J48" s="225"/>
      <c r="K48" s="218"/>
      <c r="L48" s="218"/>
      <c r="M48" s="234"/>
      <c r="N48" s="234"/>
      <c r="O48" s="225"/>
      <c r="P48" s="234"/>
      <c r="Q48" s="234"/>
      <c r="R48" s="234"/>
      <c r="S48" s="234"/>
      <c r="T48" s="234"/>
      <c r="U48" s="234"/>
      <c r="V48" s="220"/>
      <c r="W48" s="218"/>
      <c r="X48" s="218"/>
      <c r="Y48" s="234"/>
      <c r="Z48" s="220"/>
      <c r="AA48" s="218"/>
      <c r="AB48" s="234"/>
      <c r="AC48" s="218"/>
      <c r="AD48" s="218"/>
      <c r="AE48" s="225"/>
      <c r="AF48" s="249"/>
      <c r="AG48" s="249"/>
      <c r="AH48" s="249"/>
      <c r="AI48" s="249"/>
      <c r="AJ48" s="249"/>
      <c r="AK48" s="249"/>
      <c r="AL48" s="169"/>
    </row>
    <row r="49" spans="2:38" x14ac:dyDescent="0.2">
      <c r="B49" s="214" t="s">
        <v>182</v>
      </c>
      <c r="C49" s="214" t="s">
        <v>183</v>
      </c>
      <c r="D49" s="232" t="s">
        <v>547</v>
      </c>
      <c r="E49" s="216" t="s">
        <v>527</v>
      </c>
      <c r="F49" s="216" t="s">
        <v>185</v>
      </c>
      <c r="G49" s="248">
        <v>0.14538400000000001</v>
      </c>
      <c r="H49" s="242">
        <v>49349000</v>
      </c>
      <c r="I49" s="220"/>
      <c r="J49" s="225"/>
      <c r="K49" s="218"/>
      <c r="L49" s="220"/>
      <c r="M49" s="234"/>
      <c r="N49" s="234"/>
      <c r="O49" s="225"/>
      <c r="P49" s="234"/>
      <c r="Q49" s="234"/>
      <c r="R49" s="234"/>
      <c r="S49" s="234"/>
      <c r="T49" s="234"/>
      <c r="U49" s="225"/>
      <c r="V49" s="220"/>
      <c r="W49" s="218"/>
      <c r="X49" s="220"/>
      <c r="Y49" s="234"/>
      <c r="Z49" s="220"/>
      <c r="AA49" s="220"/>
      <c r="AB49" s="255"/>
      <c r="AC49" s="220"/>
      <c r="AD49" s="218"/>
      <c r="AE49" s="225"/>
      <c r="AF49" s="249"/>
      <c r="AG49" s="249"/>
      <c r="AH49" s="249"/>
      <c r="AI49" s="249"/>
      <c r="AJ49" s="249"/>
      <c r="AK49" s="249"/>
      <c r="AL49" s="169"/>
    </row>
    <row r="50" spans="2:38" x14ac:dyDescent="0.2">
      <c r="B50" s="214" t="s">
        <v>182</v>
      </c>
      <c r="C50" s="214" t="s">
        <v>183</v>
      </c>
      <c r="D50" s="232" t="s">
        <v>187</v>
      </c>
      <c r="E50" s="216" t="s">
        <v>527</v>
      </c>
      <c r="F50" s="216" t="s">
        <v>185</v>
      </c>
      <c r="G50" s="248">
        <v>0.14538400000000001</v>
      </c>
      <c r="H50" s="242">
        <v>74000000</v>
      </c>
      <c r="I50" s="220"/>
      <c r="J50" s="225"/>
      <c r="K50" s="218"/>
      <c r="L50" s="218"/>
      <c r="M50" s="225"/>
      <c r="N50" s="225"/>
      <c r="O50" s="225"/>
      <c r="P50" s="234"/>
      <c r="Q50" s="234"/>
      <c r="R50" s="234"/>
      <c r="S50" s="234"/>
      <c r="T50" s="225"/>
      <c r="U50" s="234"/>
      <c r="V50" s="220"/>
      <c r="W50" s="218"/>
      <c r="X50" s="220"/>
      <c r="Y50" s="234"/>
      <c r="Z50" s="220"/>
      <c r="AA50" s="220"/>
      <c r="AB50" s="225"/>
      <c r="AC50" s="218"/>
      <c r="AD50" s="218"/>
      <c r="AE50" s="225"/>
      <c r="AF50" s="249"/>
      <c r="AG50" s="249"/>
      <c r="AH50" s="249"/>
      <c r="AI50" s="249"/>
      <c r="AJ50" s="249"/>
      <c r="AK50" s="249"/>
      <c r="AL50" s="169"/>
    </row>
    <row r="51" spans="2:38" x14ac:dyDescent="0.2">
      <c r="B51" s="214" t="s">
        <v>182</v>
      </c>
      <c r="C51" s="214" t="s">
        <v>183</v>
      </c>
      <c r="D51" s="232" t="s">
        <v>188</v>
      </c>
      <c r="E51" s="216" t="s">
        <v>83</v>
      </c>
      <c r="F51" s="216" t="s">
        <v>185</v>
      </c>
      <c r="G51" s="248">
        <v>0.1537053666</v>
      </c>
      <c r="H51" s="242">
        <f>28580000/110.7%</f>
        <v>25817524.841915086</v>
      </c>
      <c r="I51" s="220"/>
      <c r="J51" s="225"/>
      <c r="K51" s="218"/>
      <c r="L51" s="218"/>
      <c r="M51" s="225"/>
      <c r="N51" s="225"/>
      <c r="O51" s="225"/>
      <c r="P51" s="234"/>
      <c r="Q51" s="234"/>
      <c r="R51" s="234"/>
      <c r="S51" s="225"/>
      <c r="T51" s="234"/>
      <c r="U51" s="225"/>
      <c r="V51" s="218"/>
      <c r="W51" s="218"/>
      <c r="X51" s="220"/>
      <c r="Y51" s="234"/>
      <c r="Z51" s="220"/>
      <c r="AA51" s="220"/>
      <c r="AB51" s="234"/>
      <c r="AC51" s="220"/>
      <c r="AD51" s="218"/>
      <c r="AE51" s="225"/>
      <c r="AF51" s="249"/>
      <c r="AG51" s="249"/>
      <c r="AH51" s="249"/>
      <c r="AI51" s="249"/>
      <c r="AJ51" s="249"/>
      <c r="AK51" s="249"/>
      <c r="AL51" s="169"/>
    </row>
    <row r="52" spans="2:38" x14ac:dyDescent="0.2">
      <c r="B52" s="214" t="s">
        <v>182</v>
      </c>
      <c r="C52" s="214" t="s">
        <v>183</v>
      </c>
      <c r="D52" s="215" t="s">
        <v>190</v>
      </c>
      <c r="E52" s="216" t="s">
        <v>527</v>
      </c>
      <c r="F52" s="216" t="s">
        <v>185</v>
      </c>
      <c r="G52" s="248">
        <v>0.14538400000000001</v>
      </c>
      <c r="H52" s="242">
        <v>69790000</v>
      </c>
      <c r="I52" s="220"/>
      <c r="J52" s="225"/>
      <c r="K52" s="218"/>
      <c r="L52" s="218"/>
      <c r="M52" s="234"/>
      <c r="N52" s="234"/>
      <c r="O52" s="225"/>
      <c r="P52" s="234"/>
      <c r="Q52" s="234"/>
      <c r="R52" s="234"/>
      <c r="S52" s="234"/>
      <c r="T52" s="234"/>
      <c r="U52" s="225"/>
      <c r="V52" s="220"/>
      <c r="W52" s="218"/>
      <c r="X52" s="218"/>
      <c r="Y52" s="234"/>
      <c r="Z52" s="218"/>
      <c r="AA52" s="218"/>
      <c r="AB52" s="225"/>
      <c r="AC52" s="218"/>
      <c r="AD52" s="218"/>
      <c r="AE52" s="225"/>
      <c r="AF52" s="249"/>
      <c r="AG52" s="249"/>
      <c r="AH52" s="249"/>
      <c r="AI52" s="249"/>
      <c r="AJ52" s="249"/>
      <c r="AK52" s="249"/>
      <c r="AL52" s="169"/>
    </row>
    <row r="53" spans="2:38" x14ac:dyDescent="0.2">
      <c r="B53" s="214" t="s">
        <v>182</v>
      </c>
      <c r="C53" s="214" t="s">
        <v>183</v>
      </c>
      <c r="D53" s="232" t="s">
        <v>191</v>
      </c>
      <c r="E53" s="216" t="s">
        <v>83</v>
      </c>
      <c r="F53" s="216" t="s">
        <v>185</v>
      </c>
      <c r="G53" s="248">
        <v>0.1537053666</v>
      </c>
      <c r="H53" s="242">
        <v>24770000</v>
      </c>
      <c r="I53" s="220"/>
      <c r="J53" s="234"/>
      <c r="K53" s="218"/>
      <c r="L53" s="220"/>
      <c r="M53" s="234"/>
      <c r="N53" s="234"/>
      <c r="O53" s="234"/>
      <c r="P53" s="234"/>
      <c r="Q53" s="234"/>
      <c r="R53" s="234"/>
      <c r="S53" s="234"/>
      <c r="T53" s="234"/>
      <c r="U53" s="234"/>
      <c r="V53" s="220"/>
      <c r="W53" s="218"/>
      <c r="X53" s="220"/>
      <c r="Y53" s="234"/>
      <c r="Z53" s="220"/>
      <c r="AA53" s="220"/>
      <c r="AB53" s="234"/>
      <c r="AC53" s="220"/>
      <c r="AD53" s="218"/>
      <c r="AE53" s="225"/>
      <c r="AF53" s="249"/>
      <c r="AG53" s="249"/>
      <c r="AH53" s="249"/>
      <c r="AI53" s="249"/>
      <c r="AJ53" s="249"/>
      <c r="AK53" s="249"/>
      <c r="AL53" s="169"/>
    </row>
    <row r="54" spans="2:38" x14ac:dyDescent="0.2">
      <c r="B54" s="214" t="s">
        <v>182</v>
      </c>
      <c r="C54" s="214" t="s">
        <v>183</v>
      </c>
      <c r="D54" s="215" t="s">
        <v>546</v>
      </c>
      <c r="E54" s="216" t="s">
        <v>527</v>
      </c>
      <c r="F54" s="216" t="s">
        <v>185</v>
      </c>
      <c r="G54" s="248">
        <v>0.14538400000000001</v>
      </c>
      <c r="H54" s="242">
        <f>2412.36*10000</f>
        <v>24123600</v>
      </c>
      <c r="I54" s="220"/>
      <c r="J54" s="225"/>
      <c r="K54" s="218"/>
      <c r="L54" s="218"/>
      <c r="M54" s="225"/>
      <c r="N54" s="225"/>
      <c r="O54" s="225"/>
      <c r="P54" s="234"/>
      <c r="Q54" s="234"/>
      <c r="R54" s="234"/>
      <c r="S54" s="234"/>
      <c r="T54" s="234"/>
      <c r="U54" s="225"/>
      <c r="V54" s="218"/>
      <c r="W54" s="218"/>
      <c r="X54" s="218"/>
      <c r="Y54" s="234"/>
      <c r="Z54" s="220"/>
      <c r="AA54" s="220"/>
      <c r="AB54" s="234"/>
      <c r="AC54" s="218"/>
      <c r="AD54" s="218"/>
      <c r="AE54" s="225"/>
      <c r="AF54" s="249"/>
      <c r="AG54" s="249"/>
      <c r="AH54" s="249"/>
      <c r="AI54" s="249"/>
      <c r="AJ54" s="249"/>
      <c r="AK54" s="249"/>
      <c r="AL54" s="169"/>
    </row>
    <row r="55" spans="2:38" x14ac:dyDescent="0.2">
      <c r="B55" s="214" t="s">
        <v>182</v>
      </c>
      <c r="C55" s="214" t="s">
        <v>183</v>
      </c>
      <c r="D55" s="232" t="s">
        <v>192</v>
      </c>
      <c r="E55" s="216" t="s">
        <v>527</v>
      </c>
      <c r="F55" s="216" t="s">
        <v>185</v>
      </c>
      <c r="G55" s="248">
        <v>0.14538400000000001</v>
      </c>
      <c r="H55" s="242">
        <f>5287.7*10000</f>
        <v>52877000</v>
      </c>
      <c r="I55" s="256"/>
      <c r="J55" s="234"/>
      <c r="K55" s="218"/>
      <c r="L55" s="220"/>
      <c r="M55" s="234"/>
      <c r="N55" s="234"/>
      <c r="O55" s="234"/>
      <c r="P55" s="234"/>
      <c r="Q55" s="234"/>
      <c r="R55" s="234"/>
      <c r="S55" s="225"/>
      <c r="T55" s="234"/>
      <c r="U55" s="234"/>
      <c r="V55" s="220"/>
      <c r="W55" s="218"/>
      <c r="X55" s="220"/>
      <c r="Y55" s="234"/>
      <c r="Z55" s="220"/>
      <c r="AA55" s="220"/>
      <c r="AB55" s="234"/>
      <c r="AC55" s="220"/>
      <c r="AD55" s="218"/>
      <c r="AE55" s="225"/>
      <c r="AF55" s="249"/>
      <c r="AG55" s="249"/>
      <c r="AH55" s="249"/>
      <c r="AI55" s="249"/>
      <c r="AJ55" s="249"/>
      <c r="AK55" s="249"/>
      <c r="AL55" s="169"/>
    </row>
    <row r="56" spans="2:38" x14ac:dyDescent="0.2">
      <c r="B56" s="214" t="s">
        <v>182</v>
      </c>
      <c r="C56" s="214" t="s">
        <v>183</v>
      </c>
      <c r="D56" s="215" t="s">
        <v>193</v>
      </c>
      <c r="E56" s="216" t="s">
        <v>527</v>
      </c>
      <c r="F56" s="216" t="s">
        <v>185</v>
      </c>
      <c r="G56" s="248">
        <v>0.14538400000000001</v>
      </c>
      <c r="H56" s="242">
        <v>100983290</v>
      </c>
      <c r="I56" s="220"/>
      <c r="J56" s="225"/>
      <c r="K56" s="218"/>
      <c r="L56" s="218"/>
      <c r="M56" s="225"/>
      <c r="N56" s="225"/>
      <c r="O56" s="225"/>
      <c r="P56" s="234"/>
      <c r="Q56" s="234"/>
      <c r="R56" s="225"/>
      <c r="S56" s="225"/>
      <c r="T56" s="225"/>
      <c r="U56" s="225"/>
      <c r="V56" s="218"/>
      <c r="W56" s="218"/>
      <c r="X56" s="218"/>
      <c r="Y56" s="234"/>
      <c r="Z56" s="218"/>
      <c r="AA56" s="218"/>
      <c r="AB56" s="225"/>
      <c r="AC56" s="218"/>
      <c r="AD56" s="218"/>
      <c r="AE56" s="225"/>
      <c r="AF56" s="249"/>
      <c r="AG56" s="249"/>
      <c r="AH56" s="249"/>
      <c r="AI56" s="249"/>
      <c r="AJ56" s="249"/>
      <c r="AK56" s="249"/>
      <c r="AL56" s="169"/>
    </row>
    <row r="57" spans="2:38" x14ac:dyDescent="0.2">
      <c r="B57" s="214" t="s">
        <v>182</v>
      </c>
      <c r="C57" s="214" t="s">
        <v>183</v>
      </c>
      <c r="D57" s="232" t="s">
        <v>194</v>
      </c>
      <c r="E57" s="216" t="s">
        <v>527</v>
      </c>
      <c r="F57" s="216" t="s">
        <v>185</v>
      </c>
      <c r="G57" s="248">
        <v>0.14538400000000001</v>
      </c>
      <c r="H57" s="242">
        <f>3351.06*10000</f>
        <v>33510600</v>
      </c>
      <c r="I57" s="220"/>
      <c r="J57" s="225"/>
      <c r="K57" s="218"/>
      <c r="L57" s="220"/>
      <c r="M57" s="234"/>
      <c r="N57" s="234"/>
      <c r="O57" s="234"/>
      <c r="P57" s="234"/>
      <c r="Q57" s="234"/>
      <c r="R57" s="234"/>
      <c r="S57" s="225"/>
      <c r="T57" s="234"/>
      <c r="U57" s="225"/>
      <c r="V57" s="220"/>
      <c r="W57" s="218"/>
      <c r="X57" s="220"/>
      <c r="Y57" s="234"/>
      <c r="Z57" s="220"/>
      <c r="AA57" s="218"/>
      <c r="AB57" s="234"/>
      <c r="AC57" s="220"/>
      <c r="AD57" s="218"/>
      <c r="AE57" s="225"/>
      <c r="AF57" s="249"/>
      <c r="AG57" s="249"/>
      <c r="AH57" s="249"/>
      <c r="AI57" s="249"/>
      <c r="AJ57" s="249"/>
      <c r="AK57" s="249"/>
      <c r="AL57" s="169"/>
    </row>
    <row r="58" spans="2:38" x14ac:dyDescent="0.2">
      <c r="B58" s="214" t="s">
        <v>182</v>
      </c>
      <c r="C58" s="214" t="s">
        <v>183</v>
      </c>
      <c r="D58" s="232" t="s">
        <v>195</v>
      </c>
      <c r="E58" s="216" t="s">
        <v>527</v>
      </c>
      <c r="F58" s="216" t="s">
        <v>110</v>
      </c>
      <c r="G58" s="248">
        <v>1.145548</v>
      </c>
      <c r="H58" s="242">
        <v>44653433</v>
      </c>
      <c r="I58" s="220"/>
      <c r="J58" s="225"/>
      <c r="K58" s="218"/>
      <c r="L58" s="220"/>
      <c r="M58" s="234"/>
      <c r="N58" s="234"/>
      <c r="O58" s="234"/>
      <c r="P58" s="234"/>
      <c r="Q58" s="234"/>
      <c r="R58" s="234"/>
      <c r="S58" s="234"/>
      <c r="T58" s="234"/>
      <c r="U58" s="234"/>
      <c r="V58" s="220"/>
      <c r="W58" s="220"/>
      <c r="X58" s="220"/>
      <c r="Y58" s="234"/>
      <c r="Z58" s="220"/>
      <c r="AA58" s="220"/>
      <c r="AB58" s="234"/>
      <c r="AC58" s="220"/>
      <c r="AD58" s="220"/>
      <c r="AE58" s="225"/>
      <c r="AF58" s="249"/>
      <c r="AG58" s="249"/>
      <c r="AH58" s="250"/>
      <c r="AI58" s="250"/>
      <c r="AJ58" s="249"/>
      <c r="AK58" s="250"/>
      <c r="AL58" s="168"/>
    </row>
    <row r="59" spans="2:38" x14ac:dyDescent="0.2">
      <c r="B59" s="214" t="s">
        <v>182</v>
      </c>
      <c r="C59" s="214" t="s">
        <v>183</v>
      </c>
      <c r="D59" s="232" t="s">
        <v>196</v>
      </c>
      <c r="E59" s="216" t="s">
        <v>527</v>
      </c>
      <c r="F59" s="216" t="s">
        <v>185</v>
      </c>
      <c r="G59" s="248">
        <v>0.14538400000000001</v>
      </c>
      <c r="H59" s="242">
        <v>41590000</v>
      </c>
      <c r="I59" s="220"/>
      <c r="J59" s="234"/>
      <c r="K59" s="218"/>
      <c r="L59" s="220"/>
      <c r="M59" s="234"/>
      <c r="N59" s="234"/>
      <c r="O59" s="234"/>
      <c r="P59" s="234"/>
      <c r="Q59" s="234"/>
      <c r="R59" s="234"/>
      <c r="S59" s="234"/>
      <c r="T59" s="234"/>
      <c r="U59" s="234"/>
      <c r="V59" s="220"/>
      <c r="W59" s="218"/>
      <c r="X59" s="220"/>
      <c r="Y59" s="234"/>
      <c r="Z59" s="218"/>
      <c r="AA59" s="218"/>
      <c r="AB59" s="234"/>
      <c r="AC59" s="220"/>
      <c r="AD59" s="218"/>
      <c r="AE59" s="225"/>
      <c r="AF59" s="249"/>
      <c r="AG59" s="250"/>
      <c r="AH59" s="250"/>
      <c r="AI59" s="250"/>
      <c r="AJ59" s="249"/>
      <c r="AK59" s="249"/>
      <c r="AL59" s="168"/>
    </row>
    <row r="60" spans="2:38" x14ac:dyDescent="0.2">
      <c r="B60" s="214" t="s">
        <v>182</v>
      </c>
      <c r="C60" s="214" t="s">
        <v>197</v>
      </c>
      <c r="D60" s="215" t="s">
        <v>198</v>
      </c>
      <c r="E60" s="216" t="s">
        <v>199</v>
      </c>
      <c r="F60" s="216" t="s">
        <v>200</v>
      </c>
      <c r="G60" s="248">
        <v>0.12748311479999999</v>
      </c>
      <c r="H60" s="242">
        <v>73600000</v>
      </c>
      <c r="I60" s="220"/>
      <c r="J60" s="225"/>
      <c r="K60" s="218"/>
      <c r="L60" s="218"/>
      <c r="M60" s="234"/>
      <c r="N60" s="234"/>
      <c r="O60" s="225"/>
      <c r="P60" s="234"/>
      <c r="Q60" s="234"/>
      <c r="R60" s="234"/>
      <c r="S60" s="234"/>
      <c r="T60" s="234"/>
      <c r="U60" s="234"/>
      <c r="V60" s="220"/>
      <c r="W60" s="218"/>
      <c r="X60" s="218"/>
      <c r="Y60" s="234"/>
      <c r="Z60" s="218"/>
      <c r="AA60" s="218"/>
      <c r="AB60" s="225"/>
      <c r="AC60" s="218"/>
      <c r="AD60" s="218"/>
      <c r="AE60" s="225"/>
      <c r="AF60" s="249"/>
      <c r="AG60" s="249"/>
      <c r="AH60" s="249"/>
      <c r="AI60" s="249"/>
      <c r="AJ60" s="249"/>
      <c r="AK60" s="249"/>
      <c r="AL60" s="150"/>
    </row>
    <row r="61" spans="2:38" x14ac:dyDescent="0.2">
      <c r="B61" s="214" t="s">
        <v>182</v>
      </c>
      <c r="C61" s="214" t="s">
        <v>201</v>
      </c>
      <c r="D61" s="232" t="s">
        <v>202</v>
      </c>
      <c r="E61" s="216" t="s">
        <v>83</v>
      </c>
      <c r="F61" s="216" t="s">
        <v>203</v>
      </c>
      <c r="G61" s="248">
        <v>0.12428295020000001</v>
      </c>
      <c r="H61" s="242">
        <v>7380000</v>
      </c>
      <c r="I61" s="220"/>
      <c r="J61" s="225"/>
      <c r="K61" s="218"/>
      <c r="L61" s="218"/>
      <c r="M61" s="234"/>
      <c r="N61" s="234"/>
      <c r="O61" s="225"/>
      <c r="P61" s="234"/>
      <c r="Q61" s="234"/>
      <c r="R61" s="234"/>
      <c r="S61" s="234"/>
      <c r="T61" s="234"/>
      <c r="U61" s="234"/>
      <c r="V61" s="220"/>
      <c r="W61" s="220"/>
      <c r="X61" s="220"/>
      <c r="Y61" s="234"/>
      <c r="Z61" s="220"/>
      <c r="AA61" s="220"/>
      <c r="AB61" s="234"/>
      <c r="AC61" s="220"/>
      <c r="AD61" s="220"/>
      <c r="AE61" s="225"/>
      <c r="AF61" s="250"/>
      <c r="AG61" s="250"/>
      <c r="AH61" s="250"/>
      <c r="AI61" s="250"/>
      <c r="AJ61" s="250"/>
      <c r="AK61" s="250"/>
      <c r="AL61" s="150"/>
    </row>
    <row r="62" spans="2:38" x14ac:dyDescent="0.2">
      <c r="B62" s="214" t="s">
        <v>182</v>
      </c>
      <c r="C62" s="214" t="s">
        <v>204</v>
      </c>
      <c r="D62" s="215" t="s">
        <v>205</v>
      </c>
      <c r="E62" s="216" t="s">
        <v>527</v>
      </c>
      <c r="F62" s="216" t="s">
        <v>206</v>
      </c>
      <c r="G62" s="248">
        <v>3.0839925399999999E-2</v>
      </c>
      <c r="H62" s="245" t="s">
        <v>570</v>
      </c>
      <c r="I62" s="257"/>
      <c r="J62" s="225"/>
      <c r="K62" s="218"/>
      <c r="L62" s="218"/>
      <c r="M62" s="234"/>
      <c r="N62" s="225"/>
      <c r="O62" s="225"/>
      <c r="P62" s="225"/>
      <c r="Q62" s="225"/>
      <c r="R62" s="225"/>
      <c r="S62" s="225"/>
      <c r="T62" s="225"/>
      <c r="U62" s="225"/>
      <c r="V62" s="218"/>
      <c r="W62" s="218"/>
      <c r="X62" s="218"/>
      <c r="Y62" s="234"/>
      <c r="Z62" s="218"/>
      <c r="AA62" s="218"/>
      <c r="AB62" s="225"/>
      <c r="AC62" s="218"/>
      <c r="AD62" s="218"/>
      <c r="AE62" s="225"/>
      <c r="AF62" s="249"/>
      <c r="AG62" s="249"/>
      <c r="AH62" s="250"/>
      <c r="AI62" s="250"/>
      <c r="AJ62" s="250"/>
      <c r="AK62" s="250"/>
      <c r="AL62" s="150"/>
    </row>
    <row r="63" spans="2:38" x14ac:dyDescent="0.2">
      <c r="B63" s="214" t="s">
        <v>182</v>
      </c>
      <c r="C63" s="214" t="s">
        <v>204</v>
      </c>
      <c r="D63" s="232" t="s">
        <v>208</v>
      </c>
      <c r="E63" s="216" t="s">
        <v>83</v>
      </c>
      <c r="F63" s="216" t="s">
        <v>206</v>
      </c>
      <c r="G63" s="248">
        <v>3.3662034299999997E-2</v>
      </c>
      <c r="H63" s="242">
        <v>5943153</v>
      </c>
      <c r="I63" s="220"/>
      <c r="J63" s="225"/>
      <c r="K63" s="218"/>
      <c r="L63" s="218"/>
      <c r="M63" s="225"/>
      <c r="N63" s="234"/>
      <c r="O63" s="225"/>
      <c r="P63" s="234"/>
      <c r="Q63" s="234"/>
      <c r="R63" s="234"/>
      <c r="S63" s="234"/>
      <c r="T63" s="234"/>
      <c r="U63" s="234"/>
      <c r="V63" s="218"/>
      <c r="W63" s="218"/>
      <c r="X63" s="220"/>
      <c r="Y63" s="234"/>
      <c r="Z63" s="220"/>
      <c r="AA63" s="220"/>
      <c r="AB63" s="234"/>
      <c r="AC63" s="220"/>
      <c r="AD63" s="218"/>
      <c r="AE63" s="234"/>
      <c r="AF63" s="250"/>
      <c r="AG63" s="250"/>
      <c r="AH63" s="250"/>
      <c r="AI63" s="250"/>
      <c r="AJ63" s="250"/>
      <c r="AK63" s="250"/>
      <c r="AL63" s="150"/>
    </row>
    <row r="64" spans="2:38" ht="19.5" customHeight="1" x14ac:dyDescent="0.2">
      <c r="B64" s="214" t="s">
        <v>182</v>
      </c>
      <c r="C64" s="214" t="s">
        <v>209</v>
      </c>
      <c r="D64" s="215" t="s">
        <v>210</v>
      </c>
      <c r="E64" s="216" t="s">
        <v>529</v>
      </c>
      <c r="F64" s="216" t="s">
        <v>211</v>
      </c>
      <c r="G64" s="248">
        <v>9.0200000000000002E-3</v>
      </c>
      <c r="H64" s="242">
        <f>(609+625)*10000</f>
        <v>12340000</v>
      </c>
      <c r="I64" s="220"/>
      <c r="J64" s="225"/>
      <c r="K64" s="218"/>
      <c r="L64" s="218"/>
      <c r="M64" s="234"/>
      <c r="N64" s="234"/>
      <c r="O64" s="225"/>
      <c r="P64" s="234"/>
      <c r="Q64" s="234"/>
      <c r="R64" s="234"/>
      <c r="S64" s="234"/>
      <c r="T64" s="234"/>
      <c r="U64" s="234"/>
      <c r="V64" s="220"/>
      <c r="W64" s="218"/>
      <c r="X64" s="220"/>
      <c r="Y64" s="234"/>
      <c r="Z64" s="220"/>
      <c r="AA64" s="218"/>
      <c r="AB64" s="225"/>
      <c r="AC64" s="220"/>
      <c r="AD64" s="218"/>
      <c r="AE64" s="225"/>
      <c r="AF64" s="249"/>
      <c r="AG64" s="249"/>
      <c r="AH64" s="249"/>
      <c r="AI64" s="249"/>
      <c r="AJ64" s="249"/>
      <c r="AK64" s="249"/>
    </row>
    <row r="65" spans="2:38" x14ac:dyDescent="0.2">
      <c r="B65" s="214" t="s">
        <v>182</v>
      </c>
      <c r="C65" s="214" t="s">
        <v>209</v>
      </c>
      <c r="D65" s="232" t="s">
        <v>959</v>
      </c>
      <c r="E65" s="216" t="s">
        <v>529</v>
      </c>
      <c r="F65" s="216" t="s">
        <v>211</v>
      </c>
      <c r="G65" s="248">
        <v>9.0200000000000002E-3</v>
      </c>
      <c r="H65" s="242">
        <v>24484000</v>
      </c>
      <c r="I65" s="220"/>
      <c r="J65" s="225"/>
      <c r="K65" s="218"/>
      <c r="L65" s="220"/>
      <c r="M65" s="234"/>
      <c r="N65" s="234"/>
      <c r="O65" s="234"/>
      <c r="P65" s="234"/>
      <c r="Q65" s="234"/>
      <c r="R65" s="234"/>
      <c r="S65" s="234"/>
      <c r="T65" s="234"/>
      <c r="U65" s="234"/>
      <c r="V65" s="220"/>
      <c r="W65" s="218"/>
      <c r="X65" s="220"/>
      <c r="Y65" s="234"/>
      <c r="Z65" s="220"/>
      <c r="AA65" s="220"/>
      <c r="AB65" s="225"/>
      <c r="AC65" s="220"/>
      <c r="AD65" s="218"/>
      <c r="AE65" s="225"/>
      <c r="AF65" s="249"/>
      <c r="AG65" s="250"/>
      <c r="AH65" s="249"/>
      <c r="AI65" s="249"/>
      <c r="AJ65" s="249"/>
      <c r="AK65" s="250"/>
      <c r="AL65" s="150"/>
    </row>
    <row r="66" spans="2:38" x14ac:dyDescent="0.2">
      <c r="B66" s="214" t="s">
        <v>182</v>
      </c>
      <c r="C66" s="214" t="s">
        <v>209</v>
      </c>
      <c r="D66" s="232" t="s">
        <v>214</v>
      </c>
      <c r="E66" s="216" t="s">
        <v>529</v>
      </c>
      <c r="F66" s="216" t="s">
        <v>211</v>
      </c>
      <c r="G66" s="248">
        <v>9.0200000000000002E-3</v>
      </c>
      <c r="H66" s="242">
        <v>3389777</v>
      </c>
      <c r="I66" s="220"/>
      <c r="J66" s="234"/>
      <c r="K66" s="218"/>
      <c r="L66" s="220"/>
      <c r="M66" s="234"/>
      <c r="N66" s="234"/>
      <c r="O66" s="220"/>
      <c r="P66" s="234"/>
      <c r="Q66" s="234"/>
      <c r="R66" s="234"/>
      <c r="S66" s="234"/>
      <c r="T66" s="234"/>
      <c r="U66" s="234"/>
      <c r="V66" s="220"/>
      <c r="W66" s="218"/>
      <c r="X66" s="220"/>
      <c r="Y66" s="234"/>
      <c r="Z66" s="220"/>
      <c r="AA66" s="220"/>
      <c r="AB66" s="225"/>
      <c r="AC66" s="220"/>
      <c r="AD66" s="218"/>
      <c r="AE66" s="225"/>
      <c r="AF66" s="249"/>
      <c r="AG66" s="249"/>
      <c r="AH66" s="249"/>
      <c r="AI66" s="249"/>
      <c r="AJ66" s="249"/>
      <c r="AK66" s="250"/>
    </row>
    <row r="67" spans="2:38" x14ac:dyDescent="0.2">
      <c r="B67" s="214" t="s">
        <v>182</v>
      </c>
      <c r="C67" s="214" t="s">
        <v>209</v>
      </c>
      <c r="D67" s="215" t="s">
        <v>215</v>
      </c>
      <c r="E67" s="216" t="s">
        <v>529</v>
      </c>
      <c r="F67" s="216" t="s">
        <v>211</v>
      </c>
      <c r="G67" s="248">
        <v>9.0200000000000002E-3</v>
      </c>
      <c r="H67" s="242">
        <v>43176000</v>
      </c>
      <c r="I67" s="218"/>
      <c r="J67" s="225"/>
      <c r="K67" s="218"/>
      <c r="L67" s="218"/>
      <c r="M67" s="234"/>
      <c r="N67" s="234"/>
      <c r="O67" s="218"/>
      <c r="P67" s="234"/>
      <c r="Q67" s="234"/>
      <c r="R67" s="234"/>
      <c r="S67" s="234"/>
      <c r="T67" s="225"/>
      <c r="U67" s="234"/>
      <c r="V67" s="220"/>
      <c r="W67" s="218"/>
      <c r="X67" s="218"/>
      <c r="Y67" s="234"/>
      <c r="Z67" s="220"/>
      <c r="AA67" s="218"/>
      <c r="AB67" s="225"/>
      <c r="AC67" s="218"/>
      <c r="AD67" s="218"/>
      <c r="AE67" s="225"/>
      <c r="AF67" s="249"/>
      <c r="AG67" s="249"/>
      <c r="AH67" s="249"/>
      <c r="AI67" s="249"/>
      <c r="AJ67" s="249"/>
      <c r="AK67" s="249"/>
    </row>
    <row r="68" spans="2:38" x14ac:dyDescent="0.2">
      <c r="B68" s="214" t="s">
        <v>182</v>
      </c>
      <c r="C68" s="214" t="s">
        <v>209</v>
      </c>
      <c r="D68" s="215" t="s">
        <v>216</v>
      </c>
      <c r="E68" s="216" t="s">
        <v>529</v>
      </c>
      <c r="F68" s="216" t="s">
        <v>211</v>
      </c>
      <c r="G68" s="248">
        <v>9.0200000000000002E-3</v>
      </c>
      <c r="H68" s="242">
        <v>48900000</v>
      </c>
      <c r="I68" s="218"/>
      <c r="J68" s="225"/>
      <c r="K68" s="218"/>
      <c r="L68" s="218"/>
      <c r="M68" s="234"/>
      <c r="N68" s="234"/>
      <c r="O68" s="218"/>
      <c r="P68" s="225"/>
      <c r="Q68" s="234"/>
      <c r="R68" s="234"/>
      <c r="S68" s="234"/>
      <c r="T68" s="225"/>
      <c r="U68" s="234"/>
      <c r="V68" s="220"/>
      <c r="W68" s="218"/>
      <c r="X68" s="218"/>
      <c r="Y68" s="234"/>
      <c r="Z68" s="220"/>
      <c r="AA68" s="220"/>
      <c r="AB68" s="234"/>
      <c r="AC68" s="218"/>
      <c r="AD68" s="218"/>
      <c r="AE68" s="225"/>
      <c r="AF68" s="249"/>
      <c r="AG68" s="249"/>
      <c r="AH68" s="249"/>
      <c r="AI68" s="249"/>
      <c r="AJ68" s="249"/>
      <c r="AK68" s="250"/>
    </row>
    <row r="69" spans="2:38" x14ac:dyDescent="0.2">
      <c r="B69" s="214" t="s">
        <v>182</v>
      </c>
      <c r="C69" s="214" t="s">
        <v>209</v>
      </c>
      <c r="D69" s="232" t="s">
        <v>217</v>
      </c>
      <c r="E69" s="216" t="s">
        <v>135</v>
      </c>
      <c r="F69" s="216" t="s">
        <v>211</v>
      </c>
      <c r="G69" s="248">
        <v>9.4091156999999998E-3</v>
      </c>
      <c r="H69" s="242">
        <v>3158442</v>
      </c>
      <c r="I69" s="220"/>
      <c r="J69" s="234"/>
      <c r="K69" s="218"/>
      <c r="L69" s="220"/>
      <c r="M69" s="234"/>
      <c r="N69" s="234"/>
      <c r="O69" s="220"/>
      <c r="P69" s="234"/>
      <c r="Q69" s="234"/>
      <c r="R69" s="225"/>
      <c r="S69" s="225"/>
      <c r="T69" s="225"/>
      <c r="U69" s="225"/>
      <c r="V69" s="220"/>
      <c r="W69" s="218"/>
      <c r="X69" s="220"/>
      <c r="Y69" s="234"/>
      <c r="Z69" s="220"/>
      <c r="AA69" s="220"/>
      <c r="AB69" s="225"/>
      <c r="AC69" s="220"/>
      <c r="AD69" s="218"/>
      <c r="AE69" s="225"/>
      <c r="AF69" s="249"/>
      <c r="AG69" s="249"/>
      <c r="AH69" s="249"/>
      <c r="AI69" s="249"/>
      <c r="AJ69" s="249"/>
      <c r="AK69" s="250"/>
    </row>
    <row r="70" spans="2:38" x14ac:dyDescent="0.2">
      <c r="B70" s="214" t="s">
        <v>182</v>
      </c>
      <c r="C70" s="214" t="s">
        <v>209</v>
      </c>
      <c r="D70" s="232" t="s">
        <v>218</v>
      </c>
      <c r="E70" s="216" t="s">
        <v>135</v>
      </c>
      <c r="F70" s="216" t="s">
        <v>211</v>
      </c>
      <c r="G70" s="248">
        <v>9.4091156999999998E-3</v>
      </c>
      <c r="H70" s="242">
        <v>3011842</v>
      </c>
      <c r="I70" s="220"/>
      <c r="J70" s="234"/>
      <c r="K70" s="218"/>
      <c r="L70" s="220"/>
      <c r="M70" s="234"/>
      <c r="N70" s="234"/>
      <c r="O70" s="220"/>
      <c r="P70" s="234"/>
      <c r="Q70" s="234"/>
      <c r="R70" s="225"/>
      <c r="S70" s="225"/>
      <c r="T70" s="225"/>
      <c r="U70" s="225"/>
      <c r="V70" s="220"/>
      <c r="W70" s="218"/>
      <c r="X70" s="218"/>
      <c r="Y70" s="234"/>
      <c r="Z70" s="220"/>
      <c r="AA70" s="218"/>
      <c r="AB70" s="225"/>
      <c r="AC70" s="218"/>
      <c r="AD70" s="218"/>
      <c r="AE70" s="225"/>
      <c r="AF70" s="249"/>
      <c r="AG70" s="249"/>
      <c r="AH70" s="249"/>
      <c r="AI70" s="249"/>
      <c r="AJ70" s="249"/>
      <c r="AK70" s="250"/>
    </row>
    <row r="71" spans="2:38" x14ac:dyDescent="0.2">
      <c r="B71" s="214" t="s">
        <v>182</v>
      </c>
      <c r="C71" s="214" t="s">
        <v>219</v>
      </c>
      <c r="D71" s="232" t="s">
        <v>220</v>
      </c>
      <c r="E71" s="216" t="s">
        <v>83</v>
      </c>
      <c r="F71" s="216" t="s">
        <v>221</v>
      </c>
      <c r="G71" s="248">
        <v>9.3773200000000004E-4</v>
      </c>
      <c r="H71" s="242">
        <v>82800000</v>
      </c>
      <c r="I71" s="220"/>
      <c r="J71" s="234"/>
      <c r="K71" s="218"/>
      <c r="L71" s="220"/>
      <c r="M71" s="234"/>
      <c r="N71" s="234"/>
      <c r="O71" s="220"/>
      <c r="P71" s="234"/>
      <c r="Q71" s="234"/>
      <c r="R71" s="234"/>
      <c r="S71" s="234"/>
      <c r="T71" s="234"/>
      <c r="U71" s="234"/>
      <c r="V71" s="220"/>
      <c r="W71" s="220"/>
      <c r="X71" s="220"/>
      <c r="Y71" s="234"/>
      <c r="Z71" s="220"/>
      <c r="AA71" s="220"/>
      <c r="AB71" s="234"/>
      <c r="AC71" s="220"/>
      <c r="AD71" s="220"/>
      <c r="AE71" s="225"/>
      <c r="AF71" s="250"/>
      <c r="AG71" s="250"/>
      <c r="AH71" s="250"/>
      <c r="AI71" s="250"/>
      <c r="AJ71" s="250"/>
      <c r="AK71" s="250"/>
    </row>
    <row r="72" spans="2:38" x14ac:dyDescent="0.2">
      <c r="B72" s="214" t="s">
        <v>182</v>
      </c>
      <c r="C72" s="214" t="s">
        <v>219</v>
      </c>
      <c r="D72" s="215" t="s">
        <v>222</v>
      </c>
      <c r="E72" s="216" t="s">
        <v>83</v>
      </c>
      <c r="F72" s="216" t="s">
        <v>221</v>
      </c>
      <c r="G72" s="248">
        <v>9.3773200000000004E-4</v>
      </c>
      <c r="H72" s="242">
        <v>62000000</v>
      </c>
      <c r="I72" s="220"/>
      <c r="J72" s="225"/>
      <c r="K72" s="218"/>
      <c r="L72" s="218"/>
      <c r="M72" s="234"/>
      <c r="N72" s="234"/>
      <c r="O72" s="218"/>
      <c r="P72" s="234"/>
      <c r="Q72" s="234"/>
      <c r="R72" s="234"/>
      <c r="S72" s="234"/>
      <c r="T72" s="234"/>
      <c r="U72" s="234"/>
      <c r="V72" s="220"/>
      <c r="W72" s="220"/>
      <c r="X72" s="220"/>
      <c r="Y72" s="234"/>
      <c r="Z72" s="220"/>
      <c r="AA72" s="220"/>
      <c r="AB72" s="234"/>
      <c r="AC72" s="220"/>
      <c r="AD72" s="218"/>
      <c r="AE72" s="225"/>
      <c r="AF72" s="249"/>
      <c r="AG72" s="249"/>
      <c r="AH72" s="250"/>
      <c r="AI72" s="250"/>
      <c r="AJ72" s="250"/>
      <c r="AK72" s="250"/>
    </row>
    <row r="73" spans="2:38" x14ac:dyDescent="0.2">
      <c r="B73" s="214" t="s">
        <v>223</v>
      </c>
      <c r="C73" s="214" t="s">
        <v>224</v>
      </c>
      <c r="D73" s="215" t="s">
        <v>225</v>
      </c>
      <c r="E73" s="216" t="s">
        <v>545</v>
      </c>
      <c r="F73" s="216" t="s">
        <v>226</v>
      </c>
      <c r="G73" s="248">
        <v>1.5921000000000001E-2</v>
      </c>
      <c r="H73" s="242">
        <f>29400000/2</f>
        <v>14700000</v>
      </c>
      <c r="I73" s="220"/>
      <c r="J73" s="234"/>
      <c r="K73" s="218"/>
      <c r="L73" s="218"/>
      <c r="M73" s="234"/>
      <c r="N73" s="234"/>
      <c r="O73" s="218"/>
      <c r="P73" s="234"/>
      <c r="Q73" s="234"/>
      <c r="R73" s="234"/>
      <c r="S73" s="234"/>
      <c r="T73" s="234"/>
      <c r="U73" s="234"/>
      <c r="V73" s="218"/>
      <c r="W73" s="218"/>
      <c r="X73" s="218"/>
      <c r="Y73" s="234"/>
      <c r="Z73" s="218"/>
      <c r="AA73" s="218"/>
      <c r="AB73" s="234"/>
      <c r="AC73" s="218"/>
      <c r="AD73" s="218"/>
      <c r="AE73" s="225"/>
      <c r="AF73" s="249"/>
      <c r="AG73" s="249"/>
      <c r="AH73" s="249"/>
      <c r="AI73" s="249"/>
      <c r="AJ73" s="249"/>
      <c r="AK73" s="249"/>
    </row>
    <row r="74" spans="2:38" x14ac:dyDescent="0.2">
      <c r="B74" s="214" t="s">
        <v>223</v>
      </c>
      <c r="C74" s="214" t="s">
        <v>224</v>
      </c>
      <c r="D74" s="215" t="s">
        <v>227</v>
      </c>
      <c r="E74" s="216" t="s">
        <v>527</v>
      </c>
      <c r="F74" s="216" t="s">
        <v>251</v>
      </c>
      <c r="G74" s="248">
        <v>1</v>
      </c>
      <c r="H74" s="242">
        <v>45836000</v>
      </c>
      <c r="I74" s="220"/>
      <c r="J74" s="225"/>
      <c r="K74" s="218"/>
      <c r="L74" s="218"/>
      <c r="M74" s="234"/>
      <c r="N74" s="234"/>
      <c r="O74" s="218"/>
      <c r="P74" s="234"/>
      <c r="Q74" s="234"/>
      <c r="R74" s="234"/>
      <c r="S74" s="234"/>
      <c r="T74" s="234"/>
      <c r="U74" s="234"/>
      <c r="V74" s="220"/>
      <c r="W74" s="218"/>
      <c r="X74" s="218"/>
      <c r="Y74" s="234"/>
      <c r="Z74" s="220"/>
      <c r="AA74" s="218"/>
      <c r="AB74" s="234"/>
      <c r="AC74" s="218"/>
      <c r="AD74" s="218"/>
      <c r="AE74" s="225"/>
      <c r="AF74" s="249"/>
      <c r="AG74" s="249"/>
      <c r="AH74" s="249"/>
      <c r="AI74" s="249"/>
      <c r="AJ74" s="249"/>
      <c r="AK74" s="249"/>
    </row>
    <row r="75" spans="2:38" x14ac:dyDescent="0.2">
      <c r="B75" s="214" t="s">
        <v>223</v>
      </c>
      <c r="C75" s="214" t="s">
        <v>224</v>
      </c>
      <c r="D75" s="232" t="s">
        <v>228</v>
      </c>
      <c r="E75" s="216" t="s">
        <v>66</v>
      </c>
      <c r="F75" s="216" t="s">
        <v>226</v>
      </c>
      <c r="G75" s="248">
        <v>1.73196332E-2</v>
      </c>
      <c r="H75" s="242">
        <v>1850000</v>
      </c>
      <c r="I75" s="220"/>
      <c r="J75" s="234"/>
      <c r="K75" s="218"/>
      <c r="L75" s="218"/>
      <c r="M75" s="234"/>
      <c r="N75" s="234"/>
      <c r="O75" s="218"/>
      <c r="P75" s="234"/>
      <c r="Q75" s="234"/>
      <c r="R75" s="234"/>
      <c r="S75" s="234"/>
      <c r="T75" s="234"/>
      <c r="U75" s="234"/>
      <c r="V75" s="220"/>
      <c r="W75" s="218"/>
      <c r="X75" s="218"/>
      <c r="Y75" s="234"/>
      <c r="Z75" s="220"/>
      <c r="AA75" s="218"/>
      <c r="AB75" s="234"/>
      <c r="AC75" s="218"/>
      <c r="AD75" s="218"/>
      <c r="AE75" s="225"/>
      <c r="AF75" s="250"/>
      <c r="AG75" s="250"/>
      <c r="AH75" s="250"/>
      <c r="AI75" s="250"/>
      <c r="AJ75" s="250"/>
      <c r="AK75" s="250"/>
    </row>
    <row r="76" spans="2:38" x14ac:dyDescent="0.2">
      <c r="B76" s="214" t="s">
        <v>223</v>
      </c>
      <c r="C76" s="214" t="s">
        <v>224</v>
      </c>
      <c r="D76" s="215" t="s">
        <v>531</v>
      </c>
      <c r="E76" s="216" t="s">
        <v>527</v>
      </c>
      <c r="F76" s="216" t="s">
        <v>110</v>
      </c>
      <c r="G76" s="248">
        <v>1.145548</v>
      </c>
      <c r="H76" s="242">
        <v>18122286</v>
      </c>
      <c r="I76" s="220"/>
      <c r="J76" s="234"/>
      <c r="K76" s="218"/>
      <c r="L76" s="220"/>
      <c r="M76" s="234"/>
      <c r="N76" s="234"/>
      <c r="O76" s="220"/>
      <c r="P76" s="234"/>
      <c r="Q76" s="234"/>
      <c r="R76" s="234"/>
      <c r="S76" s="234"/>
      <c r="T76" s="234"/>
      <c r="U76" s="234"/>
      <c r="V76" s="220"/>
      <c r="W76" s="220"/>
      <c r="X76" s="220"/>
      <c r="Y76" s="234"/>
      <c r="Z76" s="220"/>
      <c r="AA76" s="220"/>
      <c r="AB76" s="234"/>
      <c r="AC76" s="220"/>
      <c r="AD76" s="218"/>
      <c r="AE76" s="225"/>
      <c r="AF76" s="250"/>
      <c r="AG76" s="250"/>
      <c r="AH76" s="250"/>
      <c r="AI76" s="250"/>
      <c r="AJ76" s="250"/>
      <c r="AK76" s="250"/>
    </row>
    <row r="77" spans="2:38" x14ac:dyDescent="0.2">
      <c r="B77" s="214" t="s">
        <v>223</v>
      </c>
      <c r="C77" s="214" t="s">
        <v>224</v>
      </c>
      <c r="D77" s="232" t="s">
        <v>229</v>
      </c>
      <c r="E77" s="216" t="s">
        <v>83</v>
      </c>
      <c r="F77" s="216" t="s">
        <v>226</v>
      </c>
      <c r="G77" s="248">
        <v>1.73196332E-2</v>
      </c>
      <c r="H77" s="242">
        <v>5600000</v>
      </c>
      <c r="I77" s="220"/>
      <c r="J77" s="234"/>
      <c r="K77" s="218"/>
      <c r="L77" s="220"/>
      <c r="M77" s="234"/>
      <c r="N77" s="234"/>
      <c r="O77" s="220"/>
      <c r="P77" s="234"/>
      <c r="Q77" s="234"/>
      <c r="R77" s="234"/>
      <c r="S77" s="234"/>
      <c r="T77" s="234"/>
      <c r="U77" s="234"/>
      <c r="V77" s="220"/>
      <c r="W77" s="220"/>
      <c r="X77" s="220"/>
      <c r="Y77" s="234"/>
      <c r="Z77" s="220"/>
      <c r="AA77" s="220"/>
      <c r="AB77" s="234"/>
      <c r="AC77" s="220"/>
      <c r="AD77" s="220"/>
      <c r="AE77" s="234"/>
      <c r="AF77" s="250"/>
      <c r="AG77" s="250"/>
      <c r="AH77" s="250"/>
      <c r="AI77" s="250"/>
      <c r="AJ77" s="250"/>
      <c r="AK77" s="250"/>
    </row>
    <row r="78" spans="2:38" x14ac:dyDescent="0.2">
      <c r="B78" s="214" t="s">
        <v>223</v>
      </c>
      <c r="C78" s="214" t="s">
        <v>224</v>
      </c>
      <c r="D78" s="232" t="s">
        <v>230</v>
      </c>
      <c r="E78" s="216" t="s">
        <v>83</v>
      </c>
      <c r="F78" s="216" t="s">
        <v>231</v>
      </c>
      <c r="G78" s="248">
        <v>1.73196332E-2</v>
      </c>
      <c r="H78" s="242">
        <v>3400000</v>
      </c>
      <c r="I78" s="220"/>
      <c r="J78" s="234"/>
      <c r="K78" s="218"/>
      <c r="L78" s="220"/>
      <c r="M78" s="234"/>
      <c r="N78" s="234"/>
      <c r="O78" s="220"/>
      <c r="P78" s="234"/>
      <c r="Q78" s="234"/>
      <c r="R78" s="234"/>
      <c r="S78" s="234"/>
      <c r="T78" s="234"/>
      <c r="U78" s="234"/>
      <c r="V78" s="220"/>
      <c r="W78" s="220"/>
      <c r="X78" s="220"/>
      <c r="Y78" s="234"/>
      <c r="Z78" s="220"/>
      <c r="AA78" s="220"/>
      <c r="AB78" s="234"/>
      <c r="AC78" s="220"/>
      <c r="AD78" s="220"/>
      <c r="AE78" s="234"/>
      <c r="AF78" s="250"/>
      <c r="AG78" s="250"/>
      <c r="AH78" s="250"/>
      <c r="AI78" s="250"/>
      <c r="AJ78" s="250"/>
      <c r="AK78" s="250"/>
    </row>
    <row r="79" spans="2:38" x14ac:dyDescent="0.2">
      <c r="B79" s="214" t="s">
        <v>223</v>
      </c>
      <c r="C79" s="214" t="s">
        <v>224</v>
      </c>
      <c r="D79" s="232" t="s">
        <v>232</v>
      </c>
      <c r="E79" s="216" t="s">
        <v>83</v>
      </c>
      <c r="F79" s="216" t="s">
        <v>226</v>
      </c>
      <c r="G79" s="248">
        <v>1.73196332E-2</v>
      </c>
      <c r="H79" s="242">
        <v>1300000</v>
      </c>
      <c r="I79" s="220"/>
      <c r="J79" s="234"/>
      <c r="K79" s="218"/>
      <c r="L79" s="220"/>
      <c r="M79" s="234"/>
      <c r="N79" s="234"/>
      <c r="O79" s="220"/>
      <c r="P79" s="234"/>
      <c r="Q79" s="234"/>
      <c r="R79" s="234"/>
      <c r="S79" s="234"/>
      <c r="T79" s="234"/>
      <c r="U79" s="234"/>
      <c r="V79" s="220"/>
      <c r="W79" s="220"/>
      <c r="X79" s="220"/>
      <c r="Y79" s="234"/>
      <c r="Z79" s="220"/>
      <c r="AA79" s="220"/>
      <c r="AB79" s="234"/>
      <c r="AC79" s="220"/>
      <c r="AD79" s="220"/>
      <c r="AE79" s="234"/>
      <c r="AF79" s="250"/>
      <c r="AG79" s="250"/>
      <c r="AH79" s="250"/>
      <c r="AI79" s="250"/>
      <c r="AJ79" s="250"/>
      <c r="AK79" s="250"/>
    </row>
    <row r="80" spans="2:38" x14ac:dyDescent="0.2">
      <c r="B80" s="214" t="s">
        <v>0</v>
      </c>
      <c r="C80" s="214" t="s">
        <v>224</v>
      </c>
      <c r="D80" s="215" t="s">
        <v>233</v>
      </c>
      <c r="E80" s="216" t="s">
        <v>83</v>
      </c>
      <c r="F80" s="216" t="s">
        <v>226</v>
      </c>
      <c r="G80" s="248">
        <v>1.73196332E-2</v>
      </c>
      <c r="H80" s="242">
        <v>18139000</v>
      </c>
      <c r="I80" s="220"/>
      <c r="J80" s="225"/>
      <c r="K80" s="218"/>
      <c r="L80" s="218"/>
      <c r="M80" s="234"/>
      <c r="N80" s="234"/>
      <c r="O80" s="225"/>
      <c r="P80" s="234"/>
      <c r="Q80" s="234"/>
      <c r="R80" s="234"/>
      <c r="S80" s="234"/>
      <c r="T80" s="234"/>
      <c r="U80" s="234"/>
      <c r="V80" s="220"/>
      <c r="W80" s="220"/>
      <c r="X80" s="220"/>
      <c r="Y80" s="234"/>
      <c r="Z80" s="220"/>
      <c r="AA80" s="220"/>
      <c r="AB80" s="234"/>
      <c r="AC80" s="220"/>
      <c r="AD80" s="220"/>
      <c r="AE80" s="225"/>
      <c r="AF80" s="250"/>
      <c r="AG80" s="250"/>
      <c r="AH80" s="250"/>
      <c r="AI80" s="250"/>
      <c r="AJ80" s="250"/>
      <c r="AK80" s="250"/>
    </row>
    <row r="81" spans="2:38" x14ac:dyDescent="0.2">
      <c r="B81" s="214" t="s">
        <v>223</v>
      </c>
      <c r="C81" s="214" t="s">
        <v>234</v>
      </c>
      <c r="D81" s="232" t="s">
        <v>235</v>
      </c>
      <c r="E81" s="216" t="s">
        <v>83</v>
      </c>
      <c r="F81" s="216" t="s">
        <v>236</v>
      </c>
      <c r="G81" s="248">
        <v>3.0039132000000001E-3</v>
      </c>
      <c r="H81" s="242">
        <v>5640800</v>
      </c>
      <c r="I81" s="220"/>
      <c r="J81" s="234"/>
      <c r="K81" s="218"/>
      <c r="L81" s="218"/>
      <c r="M81" s="234"/>
      <c r="N81" s="234"/>
      <c r="O81" s="225"/>
      <c r="P81" s="234"/>
      <c r="Q81" s="234"/>
      <c r="R81" s="234"/>
      <c r="S81" s="234"/>
      <c r="T81" s="234"/>
      <c r="U81" s="234"/>
      <c r="V81" s="220"/>
      <c r="W81" s="218"/>
      <c r="X81" s="220"/>
      <c r="Y81" s="234"/>
      <c r="Z81" s="220"/>
      <c r="AA81" s="218"/>
      <c r="AB81" s="225"/>
      <c r="AC81" s="220"/>
      <c r="AD81" s="218"/>
      <c r="AE81" s="234"/>
      <c r="AF81" s="250"/>
      <c r="AG81" s="250"/>
      <c r="AH81" s="250"/>
      <c r="AI81" s="250"/>
      <c r="AJ81" s="250"/>
      <c r="AK81" s="250"/>
    </row>
    <row r="82" spans="2:38" x14ac:dyDescent="0.2">
      <c r="B82" s="214" t="s">
        <v>223</v>
      </c>
      <c r="C82" s="214" t="s">
        <v>237</v>
      </c>
      <c r="D82" s="232" t="s">
        <v>238</v>
      </c>
      <c r="E82" s="216" t="s">
        <v>83</v>
      </c>
      <c r="F82" s="216" t="s">
        <v>239</v>
      </c>
      <c r="G82" s="248">
        <v>1.4502001E-2</v>
      </c>
      <c r="H82" s="242">
        <v>3658337</v>
      </c>
      <c r="I82" s="220"/>
      <c r="J82" s="225"/>
      <c r="K82" s="218"/>
      <c r="L82" s="220"/>
      <c r="M82" s="234"/>
      <c r="N82" s="234"/>
      <c r="O82" s="234"/>
      <c r="P82" s="234"/>
      <c r="Q82" s="234"/>
      <c r="R82" s="234"/>
      <c r="S82" s="234"/>
      <c r="T82" s="234"/>
      <c r="U82" s="234"/>
      <c r="V82" s="220"/>
      <c r="W82" s="220"/>
      <c r="X82" s="220"/>
      <c r="Y82" s="234"/>
      <c r="Z82" s="220"/>
      <c r="AA82" s="220"/>
      <c r="AB82" s="234"/>
      <c r="AC82" s="220"/>
      <c r="AD82" s="220"/>
      <c r="AE82" s="225"/>
      <c r="AF82" s="250"/>
      <c r="AG82" s="250"/>
      <c r="AH82" s="250"/>
      <c r="AI82" s="250"/>
      <c r="AJ82" s="250"/>
      <c r="AK82" s="250"/>
    </row>
    <row r="83" spans="2:38" x14ac:dyDescent="0.2">
      <c r="B83" s="214" t="s">
        <v>223</v>
      </c>
      <c r="C83" s="214" t="s">
        <v>240</v>
      </c>
      <c r="D83" s="232" t="s">
        <v>241</v>
      </c>
      <c r="E83" s="216" t="s">
        <v>242</v>
      </c>
      <c r="F83" s="216" t="s">
        <v>243</v>
      </c>
      <c r="G83" s="248">
        <v>3.5392253200000001E-2</v>
      </c>
      <c r="H83" s="242">
        <v>611500</v>
      </c>
      <c r="I83" s="220"/>
      <c r="J83" s="234"/>
      <c r="K83" s="218"/>
      <c r="L83" s="220"/>
      <c r="M83" s="234"/>
      <c r="N83" s="234"/>
      <c r="O83" s="234"/>
      <c r="P83" s="234"/>
      <c r="Q83" s="234"/>
      <c r="R83" s="234"/>
      <c r="S83" s="234"/>
      <c r="T83" s="234"/>
      <c r="U83" s="234"/>
      <c r="V83" s="220"/>
      <c r="W83" s="220"/>
      <c r="X83" s="220"/>
      <c r="Y83" s="234"/>
      <c r="Z83" s="220"/>
      <c r="AA83" s="220"/>
      <c r="AB83" s="234"/>
      <c r="AC83" s="220"/>
      <c r="AD83" s="220"/>
      <c r="AE83" s="234"/>
      <c r="AF83" s="250"/>
      <c r="AG83" s="250"/>
      <c r="AH83" s="250"/>
      <c r="AI83" s="250"/>
      <c r="AJ83" s="250"/>
      <c r="AK83" s="250"/>
    </row>
    <row r="84" spans="2:38" x14ac:dyDescent="0.2">
      <c r="B84" s="214" t="s">
        <v>223</v>
      </c>
      <c r="C84" s="214" t="s">
        <v>244</v>
      </c>
      <c r="D84" s="232" t="s">
        <v>245</v>
      </c>
      <c r="E84" s="216" t="s">
        <v>83</v>
      </c>
      <c r="F84" s="216" t="s">
        <v>246</v>
      </c>
      <c r="G84" s="248">
        <v>3.5392253200000001E-2</v>
      </c>
      <c r="H84" s="242">
        <v>10554757</v>
      </c>
      <c r="I84" s="220"/>
      <c r="J84" s="234"/>
      <c r="K84" s="218"/>
      <c r="L84" s="218"/>
      <c r="M84" s="234"/>
      <c r="N84" s="234"/>
      <c r="O84" s="225"/>
      <c r="P84" s="234"/>
      <c r="Q84" s="234"/>
      <c r="R84" s="234"/>
      <c r="S84" s="234"/>
      <c r="T84" s="234"/>
      <c r="U84" s="234"/>
      <c r="V84" s="220"/>
      <c r="W84" s="218"/>
      <c r="X84" s="220"/>
      <c r="Y84" s="234"/>
      <c r="Z84" s="220"/>
      <c r="AA84" s="220"/>
      <c r="AB84" s="234"/>
      <c r="AC84" s="220"/>
      <c r="AD84" s="220"/>
      <c r="AE84" s="234"/>
      <c r="AF84" s="250"/>
      <c r="AG84" s="250"/>
      <c r="AH84" s="250"/>
      <c r="AI84" s="250"/>
      <c r="AJ84" s="250"/>
      <c r="AK84" s="250"/>
    </row>
    <row r="85" spans="2:38" ht="35.25" customHeight="1" x14ac:dyDescent="0.2">
      <c r="B85" s="214" t="s">
        <v>223</v>
      </c>
      <c r="C85" s="214" t="s">
        <v>247</v>
      </c>
      <c r="D85" s="215" t="s">
        <v>248</v>
      </c>
      <c r="E85" s="216" t="s">
        <v>527</v>
      </c>
      <c r="F85" s="216" t="s">
        <v>110</v>
      </c>
      <c r="G85" s="248">
        <v>1.145548</v>
      </c>
      <c r="H85" s="242">
        <v>4400000</v>
      </c>
      <c r="I85" s="220"/>
      <c r="J85" s="234"/>
      <c r="K85" s="218"/>
      <c r="L85" s="220"/>
      <c r="M85" s="234"/>
      <c r="N85" s="234"/>
      <c r="O85" s="234"/>
      <c r="P85" s="234"/>
      <c r="Q85" s="234"/>
      <c r="R85" s="234"/>
      <c r="S85" s="234"/>
      <c r="T85" s="234"/>
      <c r="U85" s="234"/>
      <c r="V85" s="220"/>
      <c r="W85" s="220"/>
      <c r="X85" s="220"/>
      <c r="Y85" s="234"/>
      <c r="Z85" s="220"/>
      <c r="AA85" s="220"/>
      <c r="AB85" s="225"/>
      <c r="AC85" s="220"/>
      <c r="AD85" s="220"/>
      <c r="AE85" s="234"/>
      <c r="AF85" s="250"/>
      <c r="AG85" s="250"/>
      <c r="AH85" s="250"/>
      <c r="AI85" s="250"/>
      <c r="AJ85" s="250"/>
      <c r="AK85" s="250"/>
    </row>
    <row r="86" spans="2:38" ht="18.75" customHeight="1" x14ac:dyDescent="0.2">
      <c r="B86" s="214" t="s">
        <v>223</v>
      </c>
      <c r="C86" s="214" t="s">
        <v>249</v>
      </c>
      <c r="D86" s="232" t="s">
        <v>250</v>
      </c>
      <c r="E86" s="216" t="s">
        <v>83</v>
      </c>
      <c r="F86" s="216" t="s">
        <v>251</v>
      </c>
      <c r="G86" s="248">
        <v>1</v>
      </c>
      <c r="H86" s="242">
        <v>2448250</v>
      </c>
      <c r="I86" s="220"/>
      <c r="J86" s="225"/>
      <c r="K86" s="218"/>
      <c r="L86" s="220"/>
      <c r="M86" s="234"/>
      <c r="N86" s="234"/>
      <c r="O86" s="234"/>
      <c r="P86" s="234"/>
      <c r="Q86" s="234"/>
      <c r="R86" s="234"/>
      <c r="S86" s="234"/>
      <c r="T86" s="234"/>
      <c r="U86" s="234"/>
      <c r="V86" s="220"/>
      <c r="W86" s="220"/>
      <c r="X86" s="220"/>
      <c r="Y86" s="234"/>
      <c r="Z86" s="220"/>
      <c r="AA86" s="220"/>
      <c r="AB86" s="234"/>
      <c r="AC86" s="220"/>
      <c r="AD86" s="220"/>
      <c r="AE86" s="234"/>
      <c r="AF86" s="250"/>
      <c r="AG86" s="250"/>
      <c r="AH86" s="250"/>
      <c r="AI86" s="250"/>
      <c r="AJ86" s="250"/>
      <c r="AK86" s="250"/>
    </row>
    <row r="87" spans="2:38" ht="18.75" customHeight="1" x14ac:dyDescent="0.2">
      <c r="B87" s="214" t="s">
        <v>252</v>
      </c>
      <c r="C87" s="214" t="s">
        <v>253</v>
      </c>
      <c r="D87" s="232" t="s">
        <v>254</v>
      </c>
      <c r="E87" s="216" t="s">
        <v>83</v>
      </c>
      <c r="F87" s="216" t="s">
        <v>255</v>
      </c>
      <c r="G87" s="248">
        <v>0.15945899999999999</v>
      </c>
      <c r="H87" s="242">
        <v>2323065</v>
      </c>
      <c r="I87" s="220"/>
      <c r="J87" s="225"/>
      <c r="K87" s="218"/>
      <c r="L87" s="218"/>
      <c r="M87" s="225"/>
      <c r="N87" s="225"/>
      <c r="O87" s="225"/>
      <c r="P87" s="234"/>
      <c r="Q87" s="234"/>
      <c r="R87" s="225"/>
      <c r="S87" s="234"/>
      <c r="T87" s="234"/>
      <c r="U87" s="225"/>
      <c r="V87" s="218"/>
      <c r="W87" s="218"/>
      <c r="X87" s="218"/>
      <c r="Y87" s="234"/>
      <c r="Z87" s="218"/>
      <c r="AA87" s="218"/>
      <c r="AB87" s="234"/>
      <c r="AC87" s="218"/>
      <c r="AD87" s="218"/>
      <c r="AE87" s="225"/>
      <c r="AF87" s="249"/>
      <c r="AG87" s="249"/>
      <c r="AH87" s="250"/>
      <c r="AI87" s="250"/>
      <c r="AJ87" s="250"/>
      <c r="AK87" s="250"/>
    </row>
    <row r="88" spans="2:38" ht="18.75" customHeight="1" x14ac:dyDescent="0.2">
      <c r="B88" s="214" t="s">
        <v>252</v>
      </c>
      <c r="C88" s="214" t="s">
        <v>256</v>
      </c>
      <c r="D88" s="232" t="s">
        <v>257</v>
      </c>
      <c r="E88" s="216" t="s">
        <v>527</v>
      </c>
      <c r="F88" s="216" t="s">
        <v>110</v>
      </c>
      <c r="G88" s="248">
        <v>1.145548</v>
      </c>
      <c r="H88" s="242">
        <v>5558363</v>
      </c>
      <c r="I88" s="220"/>
      <c r="J88" s="225"/>
      <c r="K88" s="218"/>
      <c r="L88" s="220"/>
      <c r="M88" s="234"/>
      <c r="N88" s="234"/>
      <c r="O88" s="234"/>
      <c r="P88" s="234"/>
      <c r="Q88" s="234"/>
      <c r="R88" s="234"/>
      <c r="S88" s="234"/>
      <c r="T88" s="234"/>
      <c r="U88" s="234"/>
      <c r="V88" s="220"/>
      <c r="W88" s="218"/>
      <c r="X88" s="220"/>
      <c r="Y88" s="234"/>
      <c r="Z88" s="220"/>
      <c r="AA88" s="220"/>
      <c r="AB88" s="234"/>
      <c r="AC88" s="220"/>
      <c r="AD88" s="218"/>
      <c r="AE88" s="225"/>
      <c r="AF88" s="249"/>
      <c r="AG88" s="249"/>
      <c r="AH88" s="249"/>
      <c r="AI88" s="249"/>
      <c r="AJ88" s="249"/>
      <c r="AK88" s="249"/>
    </row>
    <row r="89" spans="2:38" x14ac:dyDescent="0.2">
      <c r="B89" s="214" t="s">
        <v>252</v>
      </c>
      <c r="C89" s="214" t="s">
        <v>256</v>
      </c>
      <c r="D89" s="232" t="s">
        <v>258</v>
      </c>
      <c r="E89" s="216" t="s">
        <v>66</v>
      </c>
      <c r="F89" s="216" t="s">
        <v>259</v>
      </c>
      <c r="G89" s="248">
        <v>0.53840728360000001</v>
      </c>
      <c r="H89" s="242">
        <v>4979760</v>
      </c>
      <c r="I89" s="220"/>
      <c r="J89" s="234"/>
      <c r="K89" s="218"/>
      <c r="L89" s="220"/>
      <c r="M89" s="234"/>
      <c r="N89" s="234"/>
      <c r="O89" s="234"/>
      <c r="P89" s="234"/>
      <c r="Q89" s="234"/>
      <c r="R89" s="234"/>
      <c r="S89" s="234"/>
      <c r="T89" s="225"/>
      <c r="U89" s="225"/>
      <c r="V89" s="218"/>
      <c r="W89" s="218"/>
      <c r="X89" s="220"/>
      <c r="Y89" s="234"/>
      <c r="Z89" s="220"/>
      <c r="AA89" s="218"/>
      <c r="AB89" s="234"/>
      <c r="AC89" s="220"/>
      <c r="AD89" s="218"/>
      <c r="AE89" s="225"/>
      <c r="AF89" s="250"/>
      <c r="AG89" s="250"/>
      <c r="AH89" s="250"/>
      <c r="AI89" s="250"/>
      <c r="AJ89" s="250"/>
      <c r="AK89" s="250"/>
    </row>
    <row r="90" spans="2:38" x14ac:dyDescent="0.2">
      <c r="B90" s="214" t="s">
        <v>252</v>
      </c>
      <c r="C90" s="214" t="s">
        <v>260</v>
      </c>
      <c r="D90" s="232" t="s">
        <v>261</v>
      </c>
      <c r="E90" s="216" t="s">
        <v>66</v>
      </c>
      <c r="F90" s="216" t="s">
        <v>110</v>
      </c>
      <c r="G90" s="248">
        <v>1.0522549824</v>
      </c>
      <c r="H90" s="242">
        <v>12840000</v>
      </c>
      <c r="I90" s="220"/>
      <c r="J90" s="234"/>
      <c r="K90" s="218"/>
      <c r="L90" s="220"/>
      <c r="M90" s="234"/>
      <c r="N90" s="234"/>
      <c r="O90" s="234"/>
      <c r="P90" s="234"/>
      <c r="Q90" s="234"/>
      <c r="R90" s="234"/>
      <c r="S90" s="234"/>
      <c r="T90" s="234"/>
      <c r="U90" s="234"/>
      <c r="V90" s="220"/>
      <c r="W90" s="218"/>
      <c r="X90" s="220"/>
      <c r="Y90" s="234"/>
      <c r="Z90" s="220"/>
      <c r="AA90" s="220"/>
      <c r="AB90" s="234"/>
      <c r="AC90" s="220"/>
      <c r="AD90" s="220"/>
      <c r="AE90" s="234"/>
      <c r="AF90" s="250"/>
      <c r="AG90" s="250"/>
      <c r="AH90" s="250"/>
      <c r="AI90" s="250"/>
      <c r="AJ90" s="250"/>
      <c r="AK90" s="250"/>
    </row>
    <row r="91" spans="2:38" ht="40.5" customHeight="1" x14ac:dyDescent="0.2">
      <c r="B91" s="214" t="s">
        <v>252</v>
      </c>
      <c r="C91" s="214" t="s">
        <v>262</v>
      </c>
      <c r="D91" s="215" t="s">
        <v>263</v>
      </c>
      <c r="E91" s="216" t="s">
        <v>83</v>
      </c>
      <c r="F91" s="216" t="s">
        <v>110</v>
      </c>
      <c r="G91" s="248">
        <v>1.1998614888000001</v>
      </c>
      <c r="H91" s="242">
        <v>1688558</v>
      </c>
      <c r="I91" s="220"/>
      <c r="J91" s="225"/>
      <c r="K91" s="218"/>
      <c r="L91" s="218"/>
      <c r="M91" s="234"/>
      <c r="N91" s="234"/>
      <c r="O91" s="225"/>
      <c r="P91" s="234"/>
      <c r="Q91" s="234"/>
      <c r="R91" s="234"/>
      <c r="S91" s="234"/>
      <c r="T91" s="234"/>
      <c r="U91" s="234"/>
      <c r="V91" s="220"/>
      <c r="W91" s="218"/>
      <c r="X91" s="218"/>
      <c r="Y91" s="234"/>
      <c r="Z91" s="220"/>
      <c r="AA91" s="218"/>
      <c r="AB91" s="258"/>
      <c r="AC91" s="218"/>
      <c r="AD91" s="218"/>
      <c r="AE91" s="225"/>
      <c r="AF91" s="249"/>
      <c r="AG91" s="249"/>
      <c r="AH91" s="249"/>
      <c r="AI91" s="249"/>
      <c r="AJ91" s="249"/>
      <c r="AK91" s="249"/>
    </row>
    <row r="92" spans="2:38" x14ac:dyDescent="0.2">
      <c r="B92" s="214" t="s">
        <v>252</v>
      </c>
      <c r="C92" s="214" t="s">
        <v>264</v>
      </c>
      <c r="D92" s="232" t="s">
        <v>265</v>
      </c>
      <c r="E92" s="216" t="s">
        <v>83</v>
      </c>
      <c r="F92" s="216" t="s">
        <v>110</v>
      </c>
      <c r="G92" s="248">
        <v>1.1998614888000001</v>
      </c>
      <c r="H92" s="242">
        <v>12029678</v>
      </c>
      <c r="I92" s="220"/>
      <c r="J92" s="225"/>
      <c r="K92" s="218"/>
      <c r="L92" s="218"/>
      <c r="M92" s="234"/>
      <c r="N92" s="234"/>
      <c r="O92" s="225"/>
      <c r="P92" s="234"/>
      <c r="Q92" s="234"/>
      <c r="R92" s="234"/>
      <c r="S92" s="234"/>
      <c r="T92" s="234"/>
      <c r="U92" s="234"/>
      <c r="V92" s="220"/>
      <c r="W92" s="218"/>
      <c r="X92" s="218"/>
      <c r="Y92" s="234"/>
      <c r="Z92" s="218"/>
      <c r="AA92" s="218"/>
      <c r="AB92" s="258"/>
      <c r="AC92" s="218"/>
      <c r="AD92" s="218"/>
      <c r="AE92" s="225"/>
      <c r="AF92" s="249"/>
      <c r="AG92" s="249"/>
      <c r="AH92" s="249"/>
      <c r="AI92" s="249"/>
      <c r="AJ92" s="249"/>
      <c r="AK92" s="249"/>
      <c r="AL92" s="207"/>
    </row>
    <row r="93" spans="2:38" x14ac:dyDescent="0.2">
      <c r="B93" s="214" t="s">
        <v>252</v>
      </c>
      <c r="C93" s="214" t="s">
        <v>264</v>
      </c>
      <c r="D93" s="232" t="s">
        <v>267</v>
      </c>
      <c r="E93" s="216" t="s">
        <v>83</v>
      </c>
      <c r="F93" s="216" t="s">
        <v>110</v>
      </c>
      <c r="G93" s="248">
        <v>1.1998614888000001</v>
      </c>
      <c r="H93" s="242">
        <v>15404230</v>
      </c>
      <c r="I93" s="220"/>
      <c r="J93" s="225"/>
      <c r="K93" s="218"/>
      <c r="L93" s="218"/>
      <c r="M93" s="234"/>
      <c r="N93" s="234"/>
      <c r="O93" s="225"/>
      <c r="P93" s="234"/>
      <c r="Q93" s="234"/>
      <c r="R93" s="234"/>
      <c r="S93" s="234"/>
      <c r="T93" s="234"/>
      <c r="U93" s="234"/>
      <c r="V93" s="220"/>
      <c r="W93" s="218"/>
      <c r="X93" s="218"/>
      <c r="Y93" s="234"/>
      <c r="Z93" s="218"/>
      <c r="AA93" s="218"/>
      <c r="AB93" s="258"/>
      <c r="AC93" s="218"/>
      <c r="AD93" s="218"/>
      <c r="AE93" s="225"/>
      <c r="AF93" s="249"/>
      <c r="AG93" s="249"/>
      <c r="AH93" s="249"/>
      <c r="AI93" s="249"/>
      <c r="AJ93" s="249"/>
      <c r="AK93" s="249"/>
      <c r="AL93" s="207"/>
    </row>
    <row r="94" spans="2:38" x14ac:dyDescent="0.2">
      <c r="B94" s="214" t="s">
        <v>252</v>
      </c>
      <c r="C94" s="214" t="s">
        <v>264</v>
      </c>
      <c r="D94" s="232" t="s">
        <v>268</v>
      </c>
      <c r="E94" s="216" t="s">
        <v>527</v>
      </c>
      <c r="F94" s="216" t="s">
        <v>110</v>
      </c>
      <c r="G94" s="248">
        <v>1.145548</v>
      </c>
      <c r="H94" s="242">
        <v>24100000</v>
      </c>
      <c r="I94" s="220"/>
      <c r="J94" s="225"/>
      <c r="K94" s="218"/>
      <c r="L94" s="218"/>
      <c r="M94" s="225"/>
      <c r="N94" s="225"/>
      <c r="O94" s="225"/>
      <c r="P94" s="234"/>
      <c r="Q94" s="234"/>
      <c r="R94" s="234"/>
      <c r="S94" s="234"/>
      <c r="T94" s="234"/>
      <c r="U94" s="234"/>
      <c r="V94" s="218"/>
      <c r="W94" s="218"/>
      <c r="X94" s="218"/>
      <c r="Y94" s="234"/>
      <c r="Z94" s="220"/>
      <c r="AA94" s="218"/>
      <c r="AB94" s="258"/>
      <c r="AC94" s="218"/>
      <c r="AD94" s="218"/>
      <c r="AE94" s="225"/>
      <c r="AF94" s="249"/>
      <c r="AG94" s="249"/>
      <c r="AH94" s="249"/>
      <c r="AI94" s="249"/>
      <c r="AJ94" s="249"/>
      <c r="AK94" s="249"/>
      <c r="AL94" s="171"/>
    </row>
    <row r="95" spans="2:38" x14ac:dyDescent="0.2">
      <c r="B95" s="214" t="s">
        <v>252</v>
      </c>
      <c r="C95" s="214" t="s">
        <v>270</v>
      </c>
      <c r="D95" s="232" t="s">
        <v>271</v>
      </c>
      <c r="E95" s="216" t="s">
        <v>83</v>
      </c>
      <c r="F95" s="216" t="s">
        <v>110</v>
      </c>
      <c r="G95" s="248">
        <v>1.1998614888000001</v>
      </c>
      <c r="H95" s="242">
        <v>5343000</v>
      </c>
      <c r="I95" s="220"/>
      <c r="J95" s="225"/>
      <c r="K95" s="218"/>
      <c r="L95" s="220"/>
      <c r="M95" s="234"/>
      <c r="N95" s="234"/>
      <c r="O95" s="234"/>
      <c r="P95" s="234"/>
      <c r="Q95" s="234"/>
      <c r="R95" s="234"/>
      <c r="S95" s="234"/>
      <c r="T95" s="234"/>
      <c r="U95" s="234"/>
      <c r="V95" s="220"/>
      <c r="W95" s="220"/>
      <c r="X95" s="220"/>
      <c r="Y95" s="234"/>
      <c r="Z95" s="220"/>
      <c r="AA95" s="220"/>
      <c r="AB95" s="259"/>
      <c r="AC95" s="220"/>
      <c r="AD95" s="220"/>
      <c r="AE95" s="234"/>
      <c r="AF95" s="250"/>
      <c r="AG95" s="250"/>
      <c r="AH95" s="250"/>
      <c r="AI95" s="250"/>
      <c r="AJ95" s="250"/>
      <c r="AK95" s="250"/>
    </row>
    <row r="96" spans="2:38" x14ac:dyDescent="0.2">
      <c r="B96" s="214" t="s">
        <v>252</v>
      </c>
      <c r="C96" s="214" t="s">
        <v>272</v>
      </c>
      <c r="D96" s="215" t="s">
        <v>273</v>
      </c>
      <c r="E96" s="216" t="s">
        <v>527</v>
      </c>
      <c r="F96" s="216" t="s">
        <v>110</v>
      </c>
      <c r="G96" s="248">
        <v>1.145548</v>
      </c>
      <c r="H96" s="242">
        <v>2343000</v>
      </c>
      <c r="I96" s="220"/>
      <c r="J96" s="234"/>
      <c r="K96" s="218"/>
      <c r="L96" s="220"/>
      <c r="M96" s="234"/>
      <c r="N96" s="234"/>
      <c r="O96" s="234"/>
      <c r="P96" s="234"/>
      <c r="Q96" s="234"/>
      <c r="R96" s="234"/>
      <c r="S96" s="234"/>
      <c r="T96" s="234"/>
      <c r="U96" s="234"/>
      <c r="V96" s="220"/>
      <c r="W96" s="220"/>
      <c r="X96" s="220"/>
      <c r="Y96" s="234"/>
      <c r="Z96" s="220"/>
      <c r="AA96" s="220"/>
      <c r="AB96" s="258"/>
      <c r="AC96" s="220"/>
      <c r="AD96" s="220"/>
      <c r="AE96" s="234"/>
      <c r="AF96" s="250"/>
      <c r="AG96" s="250"/>
      <c r="AH96" s="250"/>
      <c r="AI96" s="250"/>
      <c r="AJ96" s="250"/>
      <c r="AK96" s="250"/>
    </row>
    <row r="97" spans="2:38" x14ac:dyDescent="0.2">
      <c r="B97" s="214" t="s">
        <v>252</v>
      </c>
      <c r="C97" s="214" t="s">
        <v>274</v>
      </c>
      <c r="D97" s="215" t="s">
        <v>275</v>
      </c>
      <c r="E97" s="216" t="s">
        <v>527</v>
      </c>
      <c r="F97" s="216" t="s">
        <v>110</v>
      </c>
      <c r="G97" s="248">
        <v>1.145548</v>
      </c>
      <c r="H97" s="242">
        <v>67981000</v>
      </c>
      <c r="I97" s="220"/>
      <c r="J97" s="234"/>
      <c r="K97" s="218"/>
      <c r="L97" s="220"/>
      <c r="M97" s="234"/>
      <c r="N97" s="234"/>
      <c r="O97" s="234"/>
      <c r="P97" s="234"/>
      <c r="Q97" s="234"/>
      <c r="R97" s="234"/>
      <c r="S97" s="234"/>
      <c r="T97" s="234"/>
      <c r="U97" s="234"/>
      <c r="V97" s="220"/>
      <c r="W97" s="220"/>
      <c r="X97" s="220"/>
      <c r="Y97" s="234"/>
      <c r="Z97" s="220"/>
      <c r="AA97" s="220"/>
      <c r="AB97" s="225"/>
      <c r="AC97" s="220"/>
      <c r="AD97" s="220"/>
      <c r="AE97" s="234"/>
      <c r="AF97" s="250"/>
      <c r="AG97" s="250"/>
      <c r="AH97" s="250"/>
      <c r="AI97" s="250"/>
      <c r="AJ97" s="250"/>
      <c r="AK97" s="250"/>
    </row>
    <row r="98" spans="2:38" x14ac:dyDescent="0.2">
      <c r="B98" s="214" t="s">
        <v>252</v>
      </c>
      <c r="C98" s="214" t="s">
        <v>274</v>
      </c>
      <c r="D98" s="215" t="s">
        <v>276</v>
      </c>
      <c r="E98" s="216" t="s">
        <v>527</v>
      </c>
      <c r="F98" s="216" t="s">
        <v>110</v>
      </c>
      <c r="G98" s="248">
        <v>1.145548</v>
      </c>
      <c r="H98" s="242">
        <v>16372000</v>
      </c>
      <c r="I98" s="220"/>
      <c r="J98" s="234"/>
      <c r="K98" s="218"/>
      <c r="L98" s="220"/>
      <c r="M98" s="234"/>
      <c r="N98" s="234"/>
      <c r="O98" s="234"/>
      <c r="P98" s="234"/>
      <c r="Q98" s="234"/>
      <c r="R98" s="234"/>
      <c r="S98" s="234"/>
      <c r="T98" s="234"/>
      <c r="U98" s="234"/>
      <c r="V98" s="220"/>
      <c r="W98" s="220"/>
      <c r="X98" s="220"/>
      <c r="Y98" s="234"/>
      <c r="Z98" s="220"/>
      <c r="AA98" s="220"/>
      <c r="AB98" s="225"/>
      <c r="AC98" s="220"/>
      <c r="AD98" s="220"/>
      <c r="AE98" s="234"/>
      <c r="AF98" s="250"/>
      <c r="AG98" s="250"/>
      <c r="AH98" s="250"/>
      <c r="AI98" s="250"/>
      <c r="AJ98" s="250"/>
      <c r="AK98" s="250"/>
    </row>
    <row r="99" spans="2:38" x14ac:dyDescent="0.2">
      <c r="B99" s="214" t="s">
        <v>252</v>
      </c>
      <c r="C99" s="214" t="s">
        <v>274</v>
      </c>
      <c r="D99" s="215" t="s">
        <v>277</v>
      </c>
      <c r="E99" s="216" t="s">
        <v>527</v>
      </c>
      <c r="F99" s="216" t="s">
        <v>110</v>
      </c>
      <c r="G99" s="248">
        <v>1.145548</v>
      </c>
      <c r="H99" s="242">
        <v>13426000</v>
      </c>
      <c r="I99" s="220"/>
      <c r="J99" s="234"/>
      <c r="K99" s="218"/>
      <c r="L99" s="220"/>
      <c r="M99" s="234"/>
      <c r="N99" s="234"/>
      <c r="O99" s="234"/>
      <c r="P99" s="234"/>
      <c r="Q99" s="234"/>
      <c r="R99" s="234"/>
      <c r="S99" s="234"/>
      <c r="T99" s="234"/>
      <c r="U99" s="234"/>
      <c r="V99" s="220"/>
      <c r="W99" s="220"/>
      <c r="X99" s="220"/>
      <c r="Y99" s="234"/>
      <c r="Z99" s="220"/>
      <c r="AA99" s="220"/>
      <c r="AB99" s="225"/>
      <c r="AC99" s="220"/>
      <c r="AD99" s="220"/>
      <c r="AE99" s="234"/>
      <c r="AF99" s="250"/>
      <c r="AG99" s="250"/>
      <c r="AH99" s="250"/>
      <c r="AI99" s="250"/>
      <c r="AJ99" s="250"/>
      <c r="AK99" s="250"/>
      <c r="AL99" s="150"/>
    </row>
    <row r="100" spans="2:38" ht="14.25" customHeight="1" x14ac:dyDescent="0.2">
      <c r="B100" s="214" t="s">
        <v>252</v>
      </c>
      <c r="C100" s="214" t="s">
        <v>274</v>
      </c>
      <c r="D100" s="215" t="s">
        <v>278</v>
      </c>
      <c r="E100" s="216" t="s">
        <v>527</v>
      </c>
      <c r="F100" s="216" t="s">
        <v>110</v>
      </c>
      <c r="G100" s="248">
        <v>1.145548</v>
      </c>
      <c r="H100" s="242">
        <v>1216000</v>
      </c>
      <c r="I100" s="220"/>
      <c r="J100" s="234"/>
      <c r="K100" s="218"/>
      <c r="L100" s="220"/>
      <c r="M100" s="234"/>
      <c r="N100" s="234"/>
      <c r="O100" s="234"/>
      <c r="P100" s="234"/>
      <c r="Q100" s="234"/>
      <c r="R100" s="234"/>
      <c r="S100" s="234"/>
      <c r="T100" s="234"/>
      <c r="U100" s="234"/>
      <c r="V100" s="220"/>
      <c r="W100" s="220"/>
      <c r="X100" s="220"/>
      <c r="Y100" s="234"/>
      <c r="Z100" s="220"/>
      <c r="AA100" s="220"/>
      <c r="AB100" s="225"/>
      <c r="AC100" s="220"/>
      <c r="AD100" s="220"/>
      <c r="AE100" s="234"/>
      <c r="AF100" s="250"/>
      <c r="AG100" s="250"/>
      <c r="AH100" s="250"/>
      <c r="AI100" s="250"/>
      <c r="AJ100" s="250"/>
      <c r="AK100" s="250"/>
      <c r="AL100" s="150"/>
    </row>
    <row r="101" spans="2:38" ht="14.25" customHeight="1" x14ac:dyDescent="0.2">
      <c r="B101" s="214" t="s">
        <v>252</v>
      </c>
      <c r="C101" s="214" t="s">
        <v>274</v>
      </c>
      <c r="D101" s="215" t="s">
        <v>279</v>
      </c>
      <c r="E101" s="216" t="s">
        <v>527</v>
      </c>
      <c r="F101" s="216" t="s">
        <v>110</v>
      </c>
      <c r="G101" s="248">
        <v>1.145548</v>
      </c>
      <c r="H101" s="242">
        <v>4186000</v>
      </c>
      <c r="I101" s="220"/>
      <c r="J101" s="234"/>
      <c r="K101" s="218"/>
      <c r="L101" s="220"/>
      <c r="M101" s="234"/>
      <c r="N101" s="234"/>
      <c r="O101" s="234"/>
      <c r="P101" s="234"/>
      <c r="Q101" s="234"/>
      <c r="R101" s="234"/>
      <c r="S101" s="234"/>
      <c r="T101" s="234"/>
      <c r="U101" s="234"/>
      <c r="V101" s="220"/>
      <c r="W101" s="220"/>
      <c r="X101" s="220"/>
      <c r="Y101" s="234"/>
      <c r="Z101" s="220"/>
      <c r="AA101" s="220"/>
      <c r="AB101" s="225"/>
      <c r="AC101" s="220"/>
      <c r="AD101" s="220"/>
      <c r="AE101" s="234"/>
      <c r="AF101" s="250"/>
      <c r="AG101" s="250"/>
      <c r="AH101" s="250"/>
      <c r="AI101" s="250"/>
      <c r="AJ101" s="250"/>
      <c r="AK101" s="250"/>
      <c r="AL101" s="150"/>
    </row>
    <row r="102" spans="2:38" ht="14.25" customHeight="1" x14ac:dyDescent="0.2">
      <c r="B102" s="214" t="s">
        <v>252</v>
      </c>
      <c r="C102" s="214" t="s">
        <v>274</v>
      </c>
      <c r="D102" s="215" t="s">
        <v>530</v>
      </c>
      <c r="E102" s="216" t="s">
        <v>527</v>
      </c>
      <c r="F102" s="216" t="s">
        <v>110</v>
      </c>
      <c r="G102" s="248">
        <v>1.145548</v>
      </c>
      <c r="H102" s="242">
        <v>31566000</v>
      </c>
      <c r="I102" s="220"/>
      <c r="J102" s="234"/>
      <c r="K102" s="218"/>
      <c r="L102" s="220"/>
      <c r="M102" s="234"/>
      <c r="N102" s="234"/>
      <c r="O102" s="234"/>
      <c r="P102" s="234"/>
      <c r="Q102" s="234"/>
      <c r="R102" s="234"/>
      <c r="S102" s="234"/>
      <c r="T102" s="234"/>
      <c r="U102" s="234"/>
      <c r="V102" s="220"/>
      <c r="W102" s="220"/>
      <c r="X102" s="220"/>
      <c r="Y102" s="234"/>
      <c r="Z102" s="220"/>
      <c r="AA102" s="220"/>
      <c r="AB102" s="234"/>
      <c r="AC102" s="220"/>
      <c r="AD102" s="220"/>
      <c r="AE102" s="225"/>
      <c r="AF102" s="250"/>
      <c r="AG102" s="250"/>
      <c r="AH102" s="250"/>
      <c r="AI102" s="250"/>
      <c r="AJ102" s="250"/>
      <c r="AK102" s="250"/>
      <c r="AL102" s="150"/>
    </row>
    <row r="103" spans="2:38" ht="14.25" customHeight="1" x14ac:dyDescent="0.2">
      <c r="B103" s="214" t="s">
        <v>252</v>
      </c>
      <c r="C103" s="214" t="s">
        <v>274</v>
      </c>
      <c r="D103" s="215" t="s">
        <v>280</v>
      </c>
      <c r="E103" s="216" t="s">
        <v>527</v>
      </c>
      <c r="F103" s="216" t="s">
        <v>110</v>
      </c>
      <c r="G103" s="248">
        <v>1.145548</v>
      </c>
      <c r="H103" s="242">
        <v>34100000</v>
      </c>
      <c r="I103" s="218"/>
      <c r="J103" s="225"/>
      <c r="K103" s="218"/>
      <c r="L103" s="220"/>
      <c r="M103" s="234"/>
      <c r="N103" s="234"/>
      <c r="O103" s="234"/>
      <c r="P103" s="225"/>
      <c r="Q103" s="225"/>
      <c r="R103" s="225"/>
      <c r="S103" s="225"/>
      <c r="T103" s="225"/>
      <c r="U103" s="234"/>
      <c r="V103" s="220"/>
      <c r="W103" s="220"/>
      <c r="X103" s="220"/>
      <c r="Y103" s="234"/>
      <c r="Z103" s="220"/>
      <c r="AA103" s="220"/>
      <c r="AB103" s="234"/>
      <c r="AC103" s="220"/>
      <c r="AD103" s="220"/>
      <c r="AE103" s="234"/>
      <c r="AF103" s="250"/>
      <c r="AG103" s="250"/>
      <c r="AH103" s="250"/>
      <c r="AI103" s="250"/>
      <c r="AJ103" s="250"/>
      <c r="AK103" s="250"/>
      <c r="AL103" s="150"/>
    </row>
    <row r="104" spans="2:38" x14ac:dyDescent="0.2">
      <c r="B104" s="214" t="s">
        <v>281</v>
      </c>
      <c r="C104" s="214" t="s">
        <v>282</v>
      </c>
      <c r="D104" s="232" t="s">
        <v>283</v>
      </c>
      <c r="E104" s="216" t="s">
        <v>527</v>
      </c>
      <c r="F104" s="216" t="s">
        <v>284</v>
      </c>
      <c r="G104" s="248">
        <v>4.4512999999999997E-2</v>
      </c>
      <c r="H104" s="245" t="s">
        <v>571</v>
      </c>
      <c r="I104" s="220"/>
      <c r="J104" s="225"/>
      <c r="K104" s="218"/>
      <c r="L104" s="218"/>
      <c r="M104" s="234"/>
      <c r="N104" s="234"/>
      <c r="O104" s="225"/>
      <c r="P104" s="234"/>
      <c r="Q104" s="234"/>
      <c r="R104" s="234"/>
      <c r="S104" s="234"/>
      <c r="T104" s="234"/>
      <c r="U104" s="234"/>
      <c r="V104" s="220"/>
      <c r="W104" s="218"/>
      <c r="X104" s="218"/>
      <c r="Y104" s="234"/>
      <c r="Z104" s="220"/>
      <c r="AA104" s="218"/>
      <c r="AB104" s="225"/>
      <c r="AC104" s="218"/>
      <c r="AD104" s="218"/>
      <c r="AE104" s="225"/>
      <c r="AF104" s="249"/>
      <c r="AG104" s="249"/>
      <c r="AH104" s="249"/>
      <c r="AI104" s="250"/>
      <c r="AJ104" s="250"/>
      <c r="AK104" s="249"/>
      <c r="AL104" s="150"/>
    </row>
    <row r="105" spans="2:38" x14ac:dyDescent="0.2">
      <c r="B105" s="214" t="s">
        <v>281</v>
      </c>
      <c r="C105" s="214" t="s">
        <v>285</v>
      </c>
      <c r="D105" s="215" t="s">
        <v>286</v>
      </c>
      <c r="E105" s="216" t="s">
        <v>83</v>
      </c>
      <c r="F105" s="216" t="s">
        <v>110</v>
      </c>
      <c r="G105" s="248">
        <v>1.1998614888000001</v>
      </c>
      <c r="H105" s="242">
        <v>13100000</v>
      </c>
      <c r="I105" s="220"/>
      <c r="J105" s="234"/>
      <c r="K105" s="218"/>
      <c r="L105" s="218"/>
      <c r="M105" s="234"/>
      <c r="N105" s="234"/>
      <c r="O105" s="225"/>
      <c r="P105" s="234"/>
      <c r="Q105" s="234"/>
      <c r="R105" s="234"/>
      <c r="S105" s="234"/>
      <c r="T105" s="234"/>
      <c r="U105" s="234"/>
      <c r="V105" s="220"/>
      <c r="W105" s="220"/>
      <c r="X105" s="220"/>
      <c r="Y105" s="234"/>
      <c r="Z105" s="220"/>
      <c r="AA105" s="220"/>
      <c r="AB105" s="234"/>
      <c r="AC105" s="220"/>
      <c r="AD105" s="220"/>
      <c r="AE105" s="234"/>
      <c r="AF105" s="250"/>
      <c r="AG105" s="250"/>
      <c r="AH105" s="250"/>
      <c r="AI105" s="250"/>
      <c r="AJ105" s="250"/>
      <c r="AK105" s="250"/>
      <c r="AL105" s="150"/>
    </row>
    <row r="106" spans="2:38" x14ac:dyDescent="0.2">
      <c r="B106" s="214" t="s">
        <v>281</v>
      </c>
      <c r="C106" s="214" t="s">
        <v>287</v>
      </c>
      <c r="D106" s="215" t="s">
        <v>288</v>
      </c>
      <c r="E106" s="216" t="s">
        <v>527</v>
      </c>
      <c r="F106" s="216" t="s">
        <v>289</v>
      </c>
      <c r="G106" s="248">
        <v>1.145548</v>
      </c>
      <c r="H106" s="242">
        <v>34400000</v>
      </c>
      <c r="I106" s="220"/>
      <c r="J106" s="225"/>
      <c r="K106" s="218"/>
      <c r="L106" s="220"/>
      <c r="M106" s="234"/>
      <c r="N106" s="234"/>
      <c r="O106" s="254"/>
      <c r="P106" s="234"/>
      <c r="Q106" s="234"/>
      <c r="R106" s="234"/>
      <c r="S106" s="234"/>
      <c r="T106" s="254"/>
      <c r="U106" s="234"/>
      <c r="V106" s="220"/>
      <c r="W106" s="218"/>
      <c r="X106" s="218"/>
      <c r="Y106" s="234"/>
      <c r="Z106" s="220"/>
      <c r="AA106" s="218"/>
      <c r="AB106" s="225"/>
      <c r="AC106" s="218"/>
      <c r="AD106" s="218"/>
      <c r="AE106" s="225"/>
      <c r="AF106" s="249"/>
      <c r="AG106" s="249"/>
      <c r="AH106" s="249"/>
      <c r="AI106" s="249"/>
      <c r="AJ106" s="249"/>
      <c r="AK106" s="249"/>
      <c r="AL106" s="150"/>
    </row>
    <row r="107" spans="2:38" x14ac:dyDescent="0.2">
      <c r="B107" s="214" t="s">
        <v>281</v>
      </c>
      <c r="C107" s="214" t="s">
        <v>287</v>
      </c>
      <c r="D107" s="215" t="s">
        <v>291</v>
      </c>
      <c r="E107" s="216" t="s">
        <v>527</v>
      </c>
      <c r="F107" s="216" t="s">
        <v>289</v>
      </c>
      <c r="G107" s="248">
        <v>1.145548</v>
      </c>
      <c r="H107" s="242">
        <v>27000000</v>
      </c>
      <c r="I107" s="220"/>
      <c r="J107" s="225"/>
      <c r="K107" s="218"/>
      <c r="L107" s="218"/>
      <c r="M107" s="225"/>
      <c r="N107" s="225"/>
      <c r="O107" s="225"/>
      <c r="P107" s="234"/>
      <c r="Q107" s="234"/>
      <c r="R107" s="234"/>
      <c r="S107" s="234"/>
      <c r="T107" s="225"/>
      <c r="U107" s="234"/>
      <c r="V107" s="218"/>
      <c r="W107" s="220"/>
      <c r="X107" s="220"/>
      <c r="Y107" s="234"/>
      <c r="Z107" s="220"/>
      <c r="AA107" s="220"/>
      <c r="AB107" s="234"/>
      <c r="AC107" s="220"/>
      <c r="AD107" s="218"/>
      <c r="AE107" s="234"/>
      <c r="AF107" s="250"/>
      <c r="AG107" s="250"/>
      <c r="AH107" s="250"/>
      <c r="AI107" s="250"/>
      <c r="AJ107" s="250"/>
      <c r="AK107" s="250"/>
      <c r="AL107" s="150"/>
    </row>
    <row r="108" spans="2:38" x14ac:dyDescent="0.2">
      <c r="B108" s="214" t="s">
        <v>281</v>
      </c>
      <c r="C108" s="214" t="s">
        <v>287</v>
      </c>
      <c r="D108" s="215" t="s">
        <v>292</v>
      </c>
      <c r="E108" s="216" t="s">
        <v>83</v>
      </c>
      <c r="F108" s="216" t="s">
        <v>110</v>
      </c>
      <c r="G108" s="248">
        <v>1.1998614888000001</v>
      </c>
      <c r="H108" s="242">
        <v>1092547</v>
      </c>
      <c r="I108" s="220"/>
      <c r="J108" s="225"/>
      <c r="K108" s="218"/>
      <c r="L108" s="218"/>
      <c r="M108" s="234"/>
      <c r="N108" s="234"/>
      <c r="O108" s="225"/>
      <c r="P108" s="234"/>
      <c r="Q108" s="234"/>
      <c r="R108" s="234"/>
      <c r="S108" s="234"/>
      <c r="T108" s="234"/>
      <c r="U108" s="234"/>
      <c r="V108" s="220"/>
      <c r="W108" s="218"/>
      <c r="X108" s="218"/>
      <c r="Y108" s="234"/>
      <c r="Z108" s="220"/>
      <c r="AA108" s="218"/>
      <c r="AB108" s="225"/>
      <c r="AC108" s="218"/>
      <c r="AD108" s="218"/>
      <c r="AE108" s="225"/>
      <c r="AF108" s="249"/>
      <c r="AG108" s="249"/>
      <c r="AH108" s="249"/>
      <c r="AI108" s="249"/>
      <c r="AJ108" s="249"/>
      <c r="AK108" s="249"/>
      <c r="AL108" s="150"/>
    </row>
    <row r="109" spans="2:38" x14ac:dyDescent="0.2">
      <c r="B109" s="214" t="s">
        <v>281</v>
      </c>
      <c r="C109" s="214" t="s">
        <v>287</v>
      </c>
      <c r="D109" s="232" t="s">
        <v>293</v>
      </c>
      <c r="E109" s="216" t="s">
        <v>527</v>
      </c>
      <c r="F109" s="216" t="s">
        <v>110</v>
      </c>
      <c r="G109" s="248">
        <v>1.145548</v>
      </c>
      <c r="H109" s="242">
        <v>1030929</v>
      </c>
      <c r="I109" s="220"/>
      <c r="J109" s="225"/>
      <c r="K109" s="218"/>
      <c r="L109" s="218"/>
      <c r="M109" s="234"/>
      <c r="N109" s="234"/>
      <c r="O109" s="225"/>
      <c r="P109" s="234"/>
      <c r="Q109" s="234"/>
      <c r="R109" s="234"/>
      <c r="S109" s="234"/>
      <c r="T109" s="234"/>
      <c r="U109" s="234"/>
      <c r="V109" s="220"/>
      <c r="W109" s="218"/>
      <c r="X109" s="218"/>
      <c r="Y109" s="234"/>
      <c r="Z109" s="220"/>
      <c r="AA109" s="218"/>
      <c r="AB109" s="225"/>
      <c r="AC109" s="220"/>
      <c r="AD109" s="220"/>
      <c r="AE109" s="225"/>
      <c r="AF109" s="249"/>
      <c r="AG109" s="249"/>
      <c r="AH109" s="249"/>
      <c r="AI109" s="249"/>
      <c r="AJ109" s="249"/>
      <c r="AK109" s="249"/>
      <c r="AL109" s="150"/>
    </row>
    <row r="110" spans="2:38" x14ac:dyDescent="0.2">
      <c r="B110" s="214" t="s">
        <v>281</v>
      </c>
      <c r="C110" s="214" t="s">
        <v>294</v>
      </c>
      <c r="D110" s="232" t="s">
        <v>295</v>
      </c>
      <c r="E110" s="216" t="s">
        <v>83</v>
      </c>
      <c r="F110" s="216" t="s">
        <v>110</v>
      </c>
      <c r="G110" s="248">
        <v>1.1998614888000001</v>
      </c>
      <c r="H110" s="242">
        <v>33526000</v>
      </c>
      <c r="I110" s="220"/>
      <c r="J110" s="225"/>
      <c r="K110" s="218"/>
      <c r="L110" s="218"/>
      <c r="M110" s="234"/>
      <c r="N110" s="234"/>
      <c r="O110" s="225"/>
      <c r="P110" s="234"/>
      <c r="Q110" s="234"/>
      <c r="R110" s="234"/>
      <c r="S110" s="234"/>
      <c r="T110" s="234"/>
      <c r="U110" s="234"/>
      <c r="V110" s="220"/>
      <c r="W110" s="218"/>
      <c r="X110" s="218"/>
      <c r="Y110" s="234"/>
      <c r="Z110" s="220"/>
      <c r="AA110" s="218"/>
      <c r="AB110" s="225"/>
      <c r="AC110" s="218"/>
      <c r="AD110" s="218"/>
      <c r="AE110" s="225"/>
      <c r="AF110" s="249"/>
      <c r="AG110" s="249"/>
      <c r="AH110" s="249"/>
      <c r="AI110" s="249"/>
      <c r="AJ110" s="250"/>
      <c r="AK110" s="249"/>
      <c r="AL110" s="150"/>
    </row>
    <row r="111" spans="2:38" x14ac:dyDescent="0.2">
      <c r="B111" s="214" t="s">
        <v>281</v>
      </c>
      <c r="C111" s="214" t="s">
        <v>294</v>
      </c>
      <c r="D111" s="232" t="s">
        <v>296</v>
      </c>
      <c r="E111" s="216" t="s">
        <v>83</v>
      </c>
      <c r="F111" s="216" t="s">
        <v>110</v>
      </c>
      <c r="G111" s="248">
        <v>1.1998614888000001</v>
      </c>
      <c r="H111" s="242">
        <v>12384800</v>
      </c>
      <c r="I111" s="220"/>
      <c r="J111" s="225"/>
      <c r="K111" s="218"/>
      <c r="L111" s="218"/>
      <c r="M111" s="234"/>
      <c r="N111" s="234"/>
      <c r="O111" s="225"/>
      <c r="P111" s="234"/>
      <c r="Q111" s="234"/>
      <c r="R111" s="234"/>
      <c r="S111" s="234"/>
      <c r="T111" s="234"/>
      <c r="U111" s="234"/>
      <c r="V111" s="220"/>
      <c r="W111" s="218"/>
      <c r="X111" s="218"/>
      <c r="Y111" s="234"/>
      <c r="Z111" s="220"/>
      <c r="AA111" s="218"/>
      <c r="AB111" s="225"/>
      <c r="AC111" s="218"/>
      <c r="AD111" s="218"/>
      <c r="AE111" s="225"/>
      <c r="AF111" s="249"/>
      <c r="AG111" s="250"/>
      <c r="AH111" s="250"/>
      <c r="AI111" s="250"/>
      <c r="AJ111" s="250"/>
      <c r="AK111" s="250"/>
      <c r="AL111" s="150"/>
    </row>
    <row r="112" spans="2:38" x14ac:dyDescent="0.2">
      <c r="B112" s="214" t="s">
        <v>281</v>
      </c>
      <c r="C112" s="214" t="s">
        <v>294</v>
      </c>
      <c r="D112" s="232" t="s">
        <v>297</v>
      </c>
      <c r="E112" s="216" t="s">
        <v>527</v>
      </c>
      <c r="F112" s="216" t="s">
        <v>110</v>
      </c>
      <c r="G112" s="248">
        <v>1.145548</v>
      </c>
      <c r="H112" s="242">
        <v>24300000</v>
      </c>
      <c r="I112" s="220"/>
      <c r="J112" s="225"/>
      <c r="K112" s="218"/>
      <c r="L112" s="220"/>
      <c r="M112" s="234"/>
      <c r="N112" s="234"/>
      <c r="O112" s="234"/>
      <c r="P112" s="234"/>
      <c r="Q112" s="234"/>
      <c r="R112" s="234"/>
      <c r="S112" s="234"/>
      <c r="T112" s="234"/>
      <c r="U112" s="234"/>
      <c r="V112" s="220"/>
      <c r="W112" s="218"/>
      <c r="X112" s="218"/>
      <c r="Y112" s="234"/>
      <c r="Z112" s="220"/>
      <c r="AA112" s="218"/>
      <c r="AB112" s="225"/>
      <c r="AC112" s="218"/>
      <c r="AD112" s="218"/>
      <c r="AE112" s="225"/>
      <c r="AF112" s="249"/>
      <c r="AG112" s="249"/>
      <c r="AH112" s="249"/>
      <c r="AI112" s="249"/>
      <c r="AJ112" s="250"/>
      <c r="AK112" s="249"/>
      <c r="AL112" s="150"/>
    </row>
    <row r="113" spans="2:38" ht="14.25" customHeight="1" x14ac:dyDescent="0.2">
      <c r="B113" s="214" t="s">
        <v>281</v>
      </c>
      <c r="C113" s="214" t="s">
        <v>294</v>
      </c>
      <c r="D113" s="215" t="s">
        <v>299</v>
      </c>
      <c r="E113" s="216" t="s">
        <v>527</v>
      </c>
      <c r="F113" s="216" t="s">
        <v>110</v>
      </c>
      <c r="G113" s="248">
        <v>1.145548</v>
      </c>
      <c r="H113" s="242">
        <v>69510269</v>
      </c>
      <c r="I113" s="220"/>
      <c r="J113" s="225"/>
      <c r="K113" s="218"/>
      <c r="L113" s="218"/>
      <c r="M113" s="234"/>
      <c r="N113" s="234"/>
      <c r="O113" s="225"/>
      <c r="P113" s="234"/>
      <c r="Q113" s="234"/>
      <c r="R113" s="234"/>
      <c r="S113" s="234"/>
      <c r="T113" s="225"/>
      <c r="U113" s="234"/>
      <c r="V113" s="218"/>
      <c r="W113" s="218"/>
      <c r="X113" s="220"/>
      <c r="Y113" s="234"/>
      <c r="Z113" s="220"/>
      <c r="AA113" s="220"/>
      <c r="AB113" s="234"/>
      <c r="AC113" s="220"/>
      <c r="AD113" s="218"/>
      <c r="AE113" s="234"/>
      <c r="AF113" s="250"/>
      <c r="AG113" s="250"/>
      <c r="AH113" s="250"/>
      <c r="AI113" s="250"/>
      <c r="AJ113" s="250"/>
      <c r="AK113" s="250"/>
      <c r="AL113" s="172"/>
    </row>
    <row r="114" spans="2:38" x14ac:dyDescent="0.2">
      <c r="B114" s="214" t="s">
        <v>281</v>
      </c>
      <c r="C114" s="214" t="s">
        <v>294</v>
      </c>
      <c r="D114" s="215" t="s">
        <v>300</v>
      </c>
      <c r="E114" s="216" t="s">
        <v>83</v>
      </c>
      <c r="F114" s="216" t="s">
        <v>110</v>
      </c>
      <c r="G114" s="248">
        <v>1.1998614888000001</v>
      </c>
      <c r="H114" s="242">
        <v>17620000</v>
      </c>
      <c r="I114" s="220"/>
      <c r="J114" s="225"/>
      <c r="K114" s="218"/>
      <c r="L114" s="218"/>
      <c r="M114" s="234"/>
      <c r="N114" s="234"/>
      <c r="O114" s="225"/>
      <c r="P114" s="234"/>
      <c r="Q114" s="234"/>
      <c r="R114" s="234"/>
      <c r="S114" s="234"/>
      <c r="T114" s="234"/>
      <c r="U114" s="234"/>
      <c r="V114" s="220"/>
      <c r="W114" s="218"/>
      <c r="X114" s="218"/>
      <c r="Y114" s="234"/>
      <c r="Z114" s="220"/>
      <c r="AA114" s="218"/>
      <c r="AB114" s="234"/>
      <c r="AC114" s="218"/>
      <c r="AD114" s="218"/>
      <c r="AE114" s="225"/>
      <c r="AF114" s="249"/>
      <c r="AG114" s="249"/>
      <c r="AH114" s="249"/>
      <c r="AI114" s="250"/>
      <c r="AJ114" s="250"/>
      <c r="AK114" s="249"/>
      <c r="AL114" s="150"/>
    </row>
    <row r="115" spans="2:38" x14ac:dyDescent="0.2">
      <c r="B115" s="214" t="s">
        <v>281</v>
      </c>
      <c r="C115" s="214" t="s">
        <v>294</v>
      </c>
      <c r="D115" s="215" t="s">
        <v>301</v>
      </c>
      <c r="E115" s="216" t="s">
        <v>83</v>
      </c>
      <c r="F115" s="216" t="s">
        <v>110</v>
      </c>
      <c r="G115" s="248">
        <v>1.1998614888000001</v>
      </c>
      <c r="H115" s="242">
        <v>5870000</v>
      </c>
      <c r="I115" s="220"/>
      <c r="J115" s="225"/>
      <c r="K115" s="218"/>
      <c r="L115" s="218"/>
      <c r="M115" s="234"/>
      <c r="N115" s="234"/>
      <c r="O115" s="225"/>
      <c r="P115" s="234"/>
      <c r="Q115" s="234"/>
      <c r="R115" s="234"/>
      <c r="S115" s="234"/>
      <c r="T115" s="234"/>
      <c r="U115" s="234"/>
      <c r="V115" s="220"/>
      <c r="W115" s="218"/>
      <c r="X115" s="218"/>
      <c r="Y115" s="234"/>
      <c r="Z115" s="220"/>
      <c r="AA115" s="218"/>
      <c r="AB115" s="225"/>
      <c r="AC115" s="218"/>
      <c r="AD115" s="218"/>
      <c r="AE115" s="225"/>
      <c r="AF115" s="249"/>
      <c r="AG115" s="250"/>
      <c r="AH115" s="250"/>
      <c r="AI115" s="250"/>
      <c r="AJ115" s="250"/>
      <c r="AK115" s="250"/>
      <c r="AL115" s="150"/>
    </row>
    <row r="116" spans="2:38" x14ac:dyDescent="0.2">
      <c r="B116" s="214" t="s">
        <v>281</v>
      </c>
      <c r="C116" s="214" t="s">
        <v>294</v>
      </c>
      <c r="D116" s="215" t="s">
        <v>302</v>
      </c>
      <c r="E116" s="216" t="s">
        <v>532</v>
      </c>
      <c r="F116" s="216" t="s">
        <v>110</v>
      </c>
      <c r="G116" s="248">
        <v>1.145548</v>
      </c>
      <c r="H116" s="242">
        <v>46300000</v>
      </c>
      <c r="I116" s="220"/>
      <c r="J116" s="225"/>
      <c r="K116" s="218"/>
      <c r="L116" s="218"/>
      <c r="M116" s="234"/>
      <c r="N116" s="234"/>
      <c r="O116" s="225"/>
      <c r="P116" s="234"/>
      <c r="Q116" s="234"/>
      <c r="R116" s="234"/>
      <c r="S116" s="225"/>
      <c r="T116" s="225"/>
      <c r="U116" s="234"/>
      <c r="V116" s="218"/>
      <c r="W116" s="218"/>
      <c r="X116" s="218"/>
      <c r="Y116" s="234"/>
      <c r="Z116" s="220"/>
      <c r="AA116" s="218"/>
      <c r="AB116" s="225"/>
      <c r="AC116" s="218"/>
      <c r="AD116" s="218"/>
      <c r="AE116" s="225"/>
      <c r="AF116" s="249"/>
      <c r="AG116" s="249"/>
      <c r="AH116" s="249"/>
      <c r="AI116" s="249"/>
      <c r="AJ116" s="249"/>
      <c r="AK116" s="249"/>
      <c r="AL116" s="150"/>
    </row>
    <row r="117" spans="2:38" x14ac:dyDescent="0.2">
      <c r="B117" s="214" t="s">
        <v>281</v>
      </c>
      <c r="C117" s="214" t="s">
        <v>303</v>
      </c>
      <c r="D117" s="215" t="s">
        <v>304</v>
      </c>
      <c r="E117" s="216" t="s">
        <v>527</v>
      </c>
      <c r="F117" s="216" t="s">
        <v>110</v>
      </c>
      <c r="G117" s="248">
        <v>1.145548</v>
      </c>
      <c r="H117" s="242">
        <v>2292712</v>
      </c>
      <c r="I117" s="220"/>
      <c r="J117" s="225"/>
      <c r="K117" s="218"/>
      <c r="L117" s="218"/>
      <c r="M117" s="234"/>
      <c r="N117" s="234"/>
      <c r="O117" s="225"/>
      <c r="P117" s="234"/>
      <c r="Q117" s="234"/>
      <c r="R117" s="234"/>
      <c r="S117" s="234"/>
      <c r="T117" s="234"/>
      <c r="U117" s="234"/>
      <c r="V117" s="220"/>
      <c r="W117" s="218"/>
      <c r="X117" s="218"/>
      <c r="Y117" s="234"/>
      <c r="Z117" s="220"/>
      <c r="AA117" s="218"/>
      <c r="AB117" s="225"/>
      <c r="AC117" s="218"/>
      <c r="AD117" s="218"/>
      <c r="AE117" s="225"/>
      <c r="AF117" s="249"/>
      <c r="AG117" s="250"/>
      <c r="AH117" s="249"/>
      <c r="AI117" s="250"/>
      <c r="AJ117" s="250"/>
      <c r="AK117" s="250"/>
      <c r="AL117" s="150"/>
    </row>
    <row r="118" spans="2:38" x14ac:dyDescent="0.2">
      <c r="B118" s="214" t="s">
        <v>281</v>
      </c>
      <c r="C118" s="214" t="s">
        <v>305</v>
      </c>
      <c r="D118" s="215" t="s">
        <v>306</v>
      </c>
      <c r="E118" s="216" t="s">
        <v>307</v>
      </c>
      <c r="F118" s="216" t="s">
        <v>308</v>
      </c>
      <c r="G118" s="248">
        <v>0.2770519897</v>
      </c>
      <c r="H118" s="242">
        <v>22160262</v>
      </c>
      <c r="I118" s="220"/>
      <c r="J118" s="234"/>
      <c r="K118" s="218"/>
      <c r="L118" s="220"/>
      <c r="M118" s="234"/>
      <c r="N118" s="234"/>
      <c r="O118" s="234"/>
      <c r="P118" s="234"/>
      <c r="Q118" s="234"/>
      <c r="R118" s="234"/>
      <c r="S118" s="234"/>
      <c r="T118" s="234"/>
      <c r="U118" s="234"/>
      <c r="V118" s="220"/>
      <c r="W118" s="218"/>
      <c r="X118" s="220"/>
      <c r="Y118" s="234"/>
      <c r="Z118" s="220"/>
      <c r="AA118" s="220"/>
      <c r="AB118" s="234"/>
      <c r="AC118" s="220"/>
      <c r="AD118" s="218"/>
      <c r="AE118" s="225"/>
      <c r="AF118" s="250"/>
      <c r="AG118" s="250"/>
      <c r="AH118" s="250"/>
      <c r="AI118" s="250"/>
      <c r="AJ118" s="250"/>
      <c r="AK118" s="250"/>
      <c r="AL118" s="150"/>
    </row>
    <row r="119" spans="2:38" x14ac:dyDescent="0.2">
      <c r="B119" s="214" t="s">
        <v>309</v>
      </c>
      <c r="C119" s="214" t="s">
        <v>310</v>
      </c>
      <c r="D119" s="215" t="s">
        <v>575</v>
      </c>
      <c r="E119" s="216" t="s">
        <v>527</v>
      </c>
      <c r="F119" s="216" t="s">
        <v>110</v>
      </c>
      <c r="G119" s="248">
        <v>1.145548</v>
      </c>
      <c r="H119" s="242">
        <v>105300000</v>
      </c>
      <c r="I119" s="220"/>
      <c r="J119" s="234"/>
      <c r="K119" s="218"/>
      <c r="L119" s="218"/>
      <c r="M119" s="234"/>
      <c r="N119" s="234"/>
      <c r="O119" s="225"/>
      <c r="P119" s="234"/>
      <c r="Q119" s="234"/>
      <c r="R119" s="225"/>
      <c r="S119" s="225"/>
      <c r="T119" s="225"/>
      <c r="U119" s="225"/>
      <c r="V119" s="218"/>
      <c r="W119" s="220"/>
      <c r="X119" s="220"/>
      <c r="Y119" s="234"/>
      <c r="Z119" s="220"/>
      <c r="AA119" s="220"/>
      <c r="AB119" s="234"/>
      <c r="AC119" s="220"/>
      <c r="AD119" s="220"/>
      <c r="AE119" s="234"/>
      <c r="AF119" s="250"/>
      <c r="AG119" s="250"/>
      <c r="AH119" s="250"/>
      <c r="AI119" s="250"/>
      <c r="AJ119" s="250"/>
      <c r="AK119" s="250"/>
      <c r="AL119" s="168"/>
    </row>
    <row r="120" spans="2:38" x14ac:dyDescent="0.2">
      <c r="B120" s="214" t="s">
        <v>309</v>
      </c>
      <c r="C120" s="214" t="s">
        <v>310</v>
      </c>
      <c r="D120" s="232" t="s">
        <v>312</v>
      </c>
      <c r="E120" s="216" t="s">
        <v>66</v>
      </c>
      <c r="F120" s="216" t="s">
        <v>110</v>
      </c>
      <c r="G120" s="248">
        <v>1.1998614888000001</v>
      </c>
      <c r="H120" s="260">
        <v>5759000</v>
      </c>
      <c r="I120" s="261"/>
      <c r="J120" s="234"/>
      <c r="K120" s="218"/>
      <c r="L120" s="220"/>
      <c r="M120" s="234"/>
      <c r="N120" s="234"/>
      <c r="O120" s="234"/>
      <c r="P120" s="234"/>
      <c r="Q120" s="234"/>
      <c r="R120" s="234"/>
      <c r="S120" s="234"/>
      <c r="T120" s="234"/>
      <c r="U120" s="234"/>
      <c r="V120" s="220"/>
      <c r="W120" s="220"/>
      <c r="X120" s="220"/>
      <c r="Y120" s="234"/>
      <c r="Z120" s="220"/>
      <c r="AA120" s="220"/>
      <c r="AB120" s="234"/>
      <c r="AC120" s="220"/>
      <c r="AD120" s="220"/>
      <c r="AE120" s="234"/>
      <c r="AF120" s="250"/>
      <c r="AG120" s="250"/>
      <c r="AH120" s="250"/>
      <c r="AI120" s="250"/>
      <c r="AJ120" s="250"/>
      <c r="AK120" s="250"/>
      <c r="AL120" s="150"/>
    </row>
    <row r="121" spans="2:38" x14ac:dyDescent="0.2">
      <c r="B121" s="214" t="s">
        <v>309</v>
      </c>
      <c r="C121" s="214" t="s">
        <v>310</v>
      </c>
      <c r="D121" s="215" t="s">
        <v>313</v>
      </c>
      <c r="E121" s="216" t="s">
        <v>83</v>
      </c>
      <c r="F121" s="216" t="s">
        <v>110</v>
      </c>
      <c r="G121" s="248">
        <v>1.1998614888000001</v>
      </c>
      <c r="H121" s="242">
        <v>2293378</v>
      </c>
      <c r="I121" s="220"/>
      <c r="J121" s="225"/>
      <c r="K121" s="218"/>
      <c r="L121" s="218"/>
      <c r="M121" s="234"/>
      <c r="N121" s="234"/>
      <c r="O121" s="225"/>
      <c r="P121" s="234"/>
      <c r="Q121" s="234"/>
      <c r="R121" s="234"/>
      <c r="S121" s="234"/>
      <c r="T121" s="234"/>
      <c r="U121" s="234"/>
      <c r="V121" s="218"/>
      <c r="W121" s="218"/>
      <c r="X121" s="220"/>
      <c r="Y121" s="234"/>
      <c r="Z121" s="220"/>
      <c r="AA121" s="218"/>
      <c r="AB121" s="225"/>
      <c r="AC121" s="220"/>
      <c r="AD121" s="218"/>
      <c r="AE121" s="225"/>
      <c r="AF121" s="250"/>
      <c r="AG121" s="250"/>
      <c r="AH121" s="250"/>
      <c r="AI121" s="250"/>
      <c r="AJ121" s="250"/>
      <c r="AK121" s="249"/>
      <c r="AL121" s="150"/>
    </row>
    <row r="122" spans="2:38" ht="16.5" customHeight="1" x14ac:dyDescent="0.2">
      <c r="B122" s="214" t="s">
        <v>309</v>
      </c>
      <c r="C122" s="214" t="s">
        <v>310</v>
      </c>
      <c r="D122" s="244" t="s">
        <v>315</v>
      </c>
      <c r="E122" s="216" t="s">
        <v>83</v>
      </c>
      <c r="F122" s="216" t="s">
        <v>110</v>
      </c>
      <c r="G122" s="248">
        <v>1.1998614888000001</v>
      </c>
      <c r="H122" s="242">
        <v>9002086</v>
      </c>
      <c r="I122" s="220"/>
      <c r="J122" s="225"/>
      <c r="K122" s="218"/>
      <c r="L122" s="218"/>
      <c r="M122" s="234"/>
      <c r="N122" s="234"/>
      <c r="O122" s="225"/>
      <c r="P122" s="234"/>
      <c r="Q122" s="234"/>
      <c r="R122" s="234"/>
      <c r="S122" s="234"/>
      <c r="T122" s="234"/>
      <c r="U122" s="234"/>
      <c r="V122" s="218"/>
      <c r="W122" s="220"/>
      <c r="X122" s="220"/>
      <c r="Y122" s="234"/>
      <c r="Z122" s="220"/>
      <c r="AA122" s="220"/>
      <c r="AB122" s="234"/>
      <c r="AC122" s="220"/>
      <c r="AD122" s="220"/>
      <c r="AE122" s="234"/>
      <c r="AF122" s="250"/>
      <c r="AG122" s="250"/>
      <c r="AH122" s="250"/>
      <c r="AI122" s="250"/>
      <c r="AJ122" s="250"/>
      <c r="AK122" s="250"/>
      <c r="AL122" s="150"/>
    </row>
    <row r="123" spans="2:38" ht="18.75" customHeight="1" x14ac:dyDescent="0.2">
      <c r="B123" s="214" t="s">
        <v>309</v>
      </c>
      <c r="C123" s="214" t="s">
        <v>310</v>
      </c>
      <c r="D123" s="215" t="s">
        <v>316</v>
      </c>
      <c r="E123" s="216" t="s">
        <v>83</v>
      </c>
      <c r="F123" s="216" t="s">
        <v>110</v>
      </c>
      <c r="G123" s="248">
        <v>1.1998614888000001</v>
      </c>
      <c r="H123" s="242">
        <v>9264611</v>
      </c>
      <c r="I123" s="220"/>
      <c r="J123" s="225"/>
      <c r="K123" s="218"/>
      <c r="L123" s="218"/>
      <c r="M123" s="234"/>
      <c r="N123" s="234"/>
      <c r="O123" s="225"/>
      <c r="P123" s="234"/>
      <c r="Q123" s="234"/>
      <c r="R123" s="234"/>
      <c r="S123" s="234"/>
      <c r="T123" s="234"/>
      <c r="U123" s="234"/>
      <c r="V123" s="218"/>
      <c r="W123" s="218"/>
      <c r="X123" s="218"/>
      <c r="Y123" s="234"/>
      <c r="Z123" s="220"/>
      <c r="AA123" s="218"/>
      <c r="AB123" s="225"/>
      <c r="AC123" s="218"/>
      <c r="AD123" s="218"/>
      <c r="AE123" s="225"/>
      <c r="AF123" s="249"/>
      <c r="AG123" s="249"/>
      <c r="AH123" s="249"/>
      <c r="AI123" s="249"/>
      <c r="AJ123" s="249"/>
      <c r="AK123" s="249"/>
      <c r="AL123" s="150"/>
    </row>
    <row r="124" spans="2:38" ht="15" customHeight="1" x14ac:dyDescent="0.2">
      <c r="B124" s="214" t="s">
        <v>309</v>
      </c>
      <c r="C124" s="214" t="s">
        <v>310</v>
      </c>
      <c r="D124" s="232" t="s">
        <v>317</v>
      </c>
      <c r="E124" s="216" t="s">
        <v>83</v>
      </c>
      <c r="F124" s="216" t="s">
        <v>110</v>
      </c>
      <c r="G124" s="248">
        <v>1.1998614888000001</v>
      </c>
      <c r="H124" s="242">
        <v>3997678</v>
      </c>
      <c r="I124" s="220"/>
      <c r="J124" s="234"/>
      <c r="K124" s="218"/>
      <c r="L124" s="220"/>
      <c r="M124" s="234"/>
      <c r="N124" s="234"/>
      <c r="O124" s="234"/>
      <c r="P124" s="234"/>
      <c r="Q124" s="234"/>
      <c r="R124" s="234"/>
      <c r="S124" s="234"/>
      <c r="T124" s="234"/>
      <c r="U124" s="234"/>
      <c r="V124" s="220"/>
      <c r="W124" s="218"/>
      <c r="X124" s="220"/>
      <c r="Y124" s="234"/>
      <c r="Z124" s="220"/>
      <c r="AA124" s="218"/>
      <c r="AB124" s="234"/>
      <c r="AC124" s="220"/>
      <c r="AD124" s="220"/>
      <c r="AE124" s="234"/>
      <c r="AF124" s="250"/>
      <c r="AG124" s="250"/>
      <c r="AH124" s="250"/>
      <c r="AI124" s="250"/>
      <c r="AJ124" s="250"/>
      <c r="AK124" s="250"/>
      <c r="AL124" s="150"/>
    </row>
    <row r="125" spans="2:38" ht="15" customHeight="1" x14ac:dyDescent="0.2">
      <c r="B125" s="214" t="s">
        <v>309</v>
      </c>
      <c r="C125" s="214" t="s">
        <v>310</v>
      </c>
      <c r="D125" s="232" t="s">
        <v>318</v>
      </c>
      <c r="E125" s="216" t="s">
        <v>66</v>
      </c>
      <c r="F125" s="216" t="s">
        <v>110</v>
      </c>
      <c r="G125" s="248">
        <v>1.1998614888000001</v>
      </c>
      <c r="H125" s="242">
        <v>9500000</v>
      </c>
      <c r="I125" s="220"/>
      <c r="J125" s="234"/>
      <c r="K125" s="218"/>
      <c r="L125" s="220"/>
      <c r="M125" s="234"/>
      <c r="N125" s="234"/>
      <c r="O125" s="234"/>
      <c r="P125" s="234"/>
      <c r="Q125" s="234"/>
      <c r="R125" s="234"/>
      <c r="S125" s="234"/>
      <c r="T125" s="234"/>
      <c r="U125" s="234"/>
      <c r="V125" s="220"/>
      <c r="W125" s="220"/>
      <c r="X125" s="220"/>
      <c r="Y125" s="234"/>
      <c r="Z125" s="220"/>
      <c r="AA125" s="220"/>
      <c r="AB125" s="234"/>
      <c r="AC125" s="220"/>
      <c r="AD125" s="220"/>
      <c r="AE125" s="225"/>
      <c r="AF125" s="250"/>
      <c r="AG125" s="250"/>
      <c r="AH125" s="250"/>
      <c r="AI125" s="250"/>
      <c r="AJ125" s="250"/>
      <c r="AK125" s="250"/>
      <c r="AL125" s="150"/>
    </row>
    <row r="126" spans="2:38" ht="15" customHeight="1" x14ac:dyDescent="0.2">
      <c r="B126" s="214" t="s">
        <v>309</v>
      </c>
      <c r="C126" s="214" t="s">
        <v>319</v>
      </c>
      <c r="D126" s="232" t="s">
        <v>320</v>
      </c>
      <c r="E126" s="216" t="s">
        <v>533</v>
      </c>
      <c r="F126" s="216" t="s">
        <v>110</v>
      </c>
      <c r="G126" s="248">
        <v>1.145548</v>
      </c>
      <c r="H126" s="242">
        <v>33900000</v>
      </c>
      <c r="I126" s="220"/>
      <c r="J126" s="234"/>
      <c r="K126" s="218"/>
      <c r="L126" s="218"/>
      <c r="M126" s="234"/>
      <c r="N126" s="234"/>
      <c r="O126" s="225"/>
      <c r="P126" s="234"/>
      <c r="Q126" s="234"/>
      <c r="R126" s="234"/>
      <c r="S126" s="234"/>
      <c r="T126" s="225"/>
      <c r="U126" s="234"/>
      <c r="V126" s="220"/>
      <c r="W126" s="218"/>
      <c r="X126" s="220"/>
      <c r="Y126" s="234"/>
      <c r="Z126" s="220"/>
      <c r="AA126" s="220"/>
      <c r="AB126" s="225"/>
      <c r="AC126" s="220"/>
      <c r="AD126" s="220"/>
      <c r="AE126" s="234"/>
      <c r="AF126" s="250"/>
      <c r="AG126" s="250"/>
      <c r="AH126" s="250"/>
      <c r="AI126" s="250"/>
      <c r="AJ126" s="250"/>
      <c r="AK126" s="250"/>
      <c r="AL126" s="150"/>
    </row>
    <row r="127" spans="2:38" x14ac:dyDescent="0.2">
      <c r="B127" s="214" t="s">
        <v>309</v>
      </c>
      <c r="C127" s="214" t="s">
        <v>321</v>
      </c>
      <c r="D127" s="215" t="s">
        <v>322</v>
      </c>
      <c r="E127" s="216" t="s">
        <v>527</v>
      </c>
      <c r="F127" s="216" t="s">
        <v>110</v>
      </c>
      <c r="G127" s="248">
        <v>1.145548</v>
      </c>
      <c r="H127" s="242">
        <v>48835000</v>
      </c>
      <c r="I127" s="220"/>
      <c r="J127" s="225"/>
      <c r="K127" s="218"/>
      <c r="L127" s="218"/>
      <c r="M127" s="225"/>
      <c r="N127" s="225"/>
      <c r="O127" s="225"/>
      <c r="P127" s="234"/>
      <c r="Q127" s="234"/>
      <c r="R127" s="225"/>
      <c r="S127" s="225"/>
      <c r="T127" s="225"/>
      <c r="U127" s="225"/>
      <c r="V127" s="218"/>
      <c r="W127" s="218"/>
      <c r="X127" s="218"/>
      <c r="Y127" s="234"/>
      <c r="Z127" s="220"/>
      <c r="AA127" s="218"/>
      <c r="AB127" s="225"/>
      <c r="AC127" s="218"/>
      <c r="AD127" s="218"/>
      <c r="AE127" s="225"/>
      <c r="AF127" s="249"/>
      <c r="AG127" s="249"/>
      <c r="AH127" s="249"/>
      <c r="AI127" s="249"/>
      <c r="AJ127" s="249"/>
      <c r="AK127" s="249"/>
      <c r="AL127" s="168"/>
    </row>
    <row r="128" spans="2:38" x14ac:dyDescent="0.2">
      <c r="B128" s="214" t="s">
        <v>309</v>
      </c>
      <c r="C128" s="214" t="s">
        <v>321</v>
      </c>
      <c r="D128" s="215" t="s">
        <v>323</v>
      </c>
      <c r="E128" s="216" t="s">
        <v>527</v>
      </c>
      <c r="F128" s="216" t="s">
        <v>110</v>
      </c>
      <c r="G128" s="248">
        <v>1.145548</v>
      </c>
      <c r="H128" s="242">
        <v>33748800</v>
      </c>
      <c r="I128" s="220"/>
      <c r="J128" s="225"/>
      <c r="K128" s="218"/>
      <c r="L128" s="220"/>
      <c r="M128" s="234"/>
      <c r="N128" s="234"/>
      <c r="O128" s="225"/>
      <c r="P128" s="234"/>
      <c r="Q128" s="234"/>
      <c r="R128" s="225"/>
      <c r="S128" s="225"/>
      <c r="T128" s="225"/>
      <c r="U128" s="225"/>
      <c r="V128" s="218"/>
      <c r="W128" s="218"/>
      <c r="X128" s="218"/>
      <c r="Y128" s="234"/>
      <c r="Z128" s="218"/>
      <c r="AA128" s="218"/>
      <c r="AB128" s="225"/>
      <c r="AC128" s="218"/>
      <c r="AD128" s="218"/>
      <c r="AE128" s="225"/>
      <c r="AF128" s="249"/>
      <c r="AG128" s="249"/>
      <c r="AH128" s="249"/>
      <c r="AI128" s="249"/>
      <c r="AJ128" s="249"/>
      <c r="AK128" s="249"/>
      <c r="AL128" s="150"/>
    </row>
    <row r="129" spans="2:38" x14ac:dyDescent="0.2">
      <c r="B129" s="214" t="s">
        <v>309</v>
      </c>
      <c r="C129" s="214" t="s">
        <v>321</v>
      </c>
      <c r="D129" s="215" t="s">
        <v>324</v>
      </c>
      <c r="E129" s="216" t="s">
        <v>527</v>
      </c>
      <c r="F129" s="216" t="s">
        <v>110</v>
      </c>
      <c r="G129" s="248">
        <v>1.145548</v>
      </c>
      <c r="H129" s="242">
        <v>8577507</v>
      </c>
      <c r="I129" s="220"/>
      <c r="J129" s="225"/>
      <c r="K129" s="218"/>
      <c r="L129" s="218"/>
      <c r="M129" s="225"/>
      <c r="N129" s="225"/>
      <c r="O129" s="225"/>
      <c r="P129" s="234"/>
      <c r="Q129" s="234"/>
      <c r="R129" s="234"/>
      <c r="S129" s="234"/>
      <c r="T129" s="225"/>
      <c r="U129" s="225"/>
      <c r="V129" s="218"/>
      <c r="W129" s="218"/>
      <c r="X129" s="218"/>
      <c r="Y129" s="234"/>
      <c r="Z129" s="220"/>
      <c r="AA129" s="218"/>
      <c r="AB129" s="225"/>
      <c r="AC129" s="218"/>
      <c r="AD129" s="218"/>
      <c r="AE129" s="225"/>
      <c r="AF129" s="249"/>
      <c r="AG129" s="249"/>
      <c r="AH129" s="249"/>
      <c r="AI129" s="250"/>
      <c r="AJ129" s="250"/>
      <c r="AK129" s="250"/>
      <c r="AL129" s="150"/>
    </row>
    <row r="130" spans="2:38" x14ac:dyDescent="0.2">
      <c r="B130" s="214" t="s">
        <v>309</v>
      </c>
      <c r="C130" s="214" t="s">
        <v>321</v>
      </c>
      <c r="D130" s="215" t="s">
        <v>325</v>
      </c>
      <c r="E130" s="216" t="s">
        <v>83</v>
      </c>
      <c r="F130" s="216" t="s">
        <v>110</v>
      </c>
      <c r="G130" s="248">
        <v>1.1998614888000001</v>
      </c>
      <c r="H130" s="242">
        <v>7891167</v>
      </c>
      <c r="I130" s="220"/>
      <c r="J130" s="225"/>
      <c r="K130" s="218"/>
      <c r="L130" s="218"/>
      <c r="M130" s="225"/>
      <c r="N130" s="225"/>
      <c r="O130" s="225"/>
      <c r="P130" s="234"/>
      <c r="Q130" s="234"/>
      <c r="R130" s="225"/>
      <c r="S130" s="225"/>
      <c r="T130" s="225"/>
      <c r="U130" s="225"/>
      <c r="V130" s="218"/>
      <c r="W130" s="218"/>
      <c r="X130" s="218"/>
      <c r="Y130" s="234"/>
      <c r="Z130" s="218"/>
      <c r="AA130" s="218"/>
      <c r="AB130" s="225"/>
      <c r="AC130" s="218"/>
      <c r="AD130" s="218"/>
      <c r="AE130" s="225"/>
      <c r="AF130" s="249"/>
      <c r="AG130" s="249"/>
      <c r="AH130" s="249"/>
      <c r="AI130" s="249"/>
      <c r="AJ130" s="249"/>
      <c r="AK130" s="249"/>
      <c r="AL130" s="150"/>
    </row>
    <row r="131" spans="2:38" x14ac:dyDescent="0.2">
      <c r="B131" s="214" t="s">
        <v>309</v>
      </c>
      <c r="C131" s="214" t="s">
        <v>321</v>
      </c>
      <c r="D131" s="215" t="s">
        <v>326</v>
      </c>
      <c r="E131" s="216" t="s">
        <v>83</v>
      </c>
      <c r="F131" s="216" t="s">
        <v>110</v>
      </c>
      <c r="G131" s="248">
        <v>1.1998614888000001</v>
      </c>
      <c r="H131" s="242">
        <v>13366406</v>
      </c>
      <c r="I131" s="220"/>
      <c r="J131" s="225"/>
      <c r="K131" s="218"/>
      <c r="L131" s="218"/>
      <c r="M131" s="234"/>
      <c r="N131" s="234"/>
      <c r="O131" s="225"/>
      <c r="P131" s="234"/>
      <c r="Q131" s="234"/>
      <c r="R131" s="234"/>
      <c r="S131" s="234"/>
      <c r="T131" s="234"/>
      <c r="U131" s="225"/>
      <c r="V131" s="218"/>
      <c r="W131" s="218"/>
      <c r="X131" s="218"/>
      <c r="Y131" s="234"/>
      <c r="Z131" s="218"/>
      <c r="AA131" s="218"/>
      <c r="AB131" s="225"/>
      <c r="AC131" s="218"/>
      <c r="AD131" s="218"/>
      <c r="AE131" s="225"/>
      <c r="AF131" s="249"/>
      <c r="AG131" s="249"/>
      <c r="AH131" s="249"/>
      <c r="AI131" s="249"/>
      <c r="AJ131" s="249"/>
      <c r="AK131" s="249"/>
      <c r="AL131" s="150"/>
    </row>
    <row r="132" spans="2:38" x14ac:dyDescent="0.2">
      <c r="B132" s="214" t="s">
        <v>309</v>
      </c>
      <c r="C132" s="214" t="s">
        <v>321</v>
      </c>
      <c r="D132" s="215" t="s">
        <v>327</v>
      </c>
      <c r="E132" s="216" t="s">
        <v>527</v>
      </c>
      <c r="F132" s="216" t="s">
        <v>110</v>
      </c>
      <c r="G132" s="248">
        <v>1.145548</v>
      </c>
      <c r="H132" s="242">
        <v>8506658</v>
      </c>
      <c r="I132" s="220"/>
      <c r="J132" s="225"/>
      <c r="K132" s="218"/>
      <c r="L132" s="218"/>
      <c r="M132" s="225"/>
      <c r="N132" s="225"/>
      <c r="O132" s="225"/>
      <c r="P132" s="234"/>
      <c r="Q132" s="234"/>
      <c r="R132" s="234"/>
      <c r="S132" s="234"/>
      <c r="T132" s="225"/>
      <c r="U132" s="234"/>
      <c r="V132" s="218"/>
      <c r="W132" s="218"/>
      <c r="X132" s="218"/>
      <c r="Y132" s="234"/>
      <c r="Z132" s="220"/>
      <c r="AA132" s="218"/>
      <c r="AB132" s="225"/>
      <c r="AC132" s="218"/>
      <c r="AD132" s="218"/>
      <c r="AE132" s="225"/>
      <c r="AF132" s="249"/>
      <c r="AG132" s="249"/>
      <c r="AH132" s="249"/>
      <c r="AI132" s="249"/>
      <c r="AJ132" s="249"/>
      <c r="AK132" s="249"/>
      <c r="AL132" s="150"/>
    </row>
    <row r="133" spans="2:38" x14ac:dyDescent="0.2">
      <c r="B133" s="214" t="s">
        <v>309</v>
      </c>
      <c r="C133" s="214" t="s">
        <v>328</v>
      </c>
      <c r="D133" s="215" t="s">
        <v>329</v>
      </c>
      <c r="E133" s="216" t="s">
        <v>113</v>
      </c>
      <c r="F133" s="216" t="s">
        <v>330</v>
      </c>
      <c r="G133" s="248">
        <v>1.4763372618999999</v>
      </c>
      <c r="H133" s="242">
        <v>3502000</v>
      </c>
      <c r="I133" s="220"/>
      <c r="J133" s="234"/>
      <c r="K133" s="218"/>
      <c r="L133" s="218"/>
      <c r="M133" s="234"/>
      <c r="N133" s="234"/>
      <c r="O133" s="225"/>
      <c r="P133" s="234"/>
      <c r="Q133" s="234"/>
      <c r="R133" s="234"/>
      <c r="S133" s="234"/>
      <c r="T133" s="234"/>
      <c r="U133" s="234"/>
      <c r="V133" s="220"/>
      <c r="W133" s="218"/>
      <c r="X133" s="218"/>
      <c r="Y133" s="234"/>
      <c r="Z133" s="218"/>
      <c r="AA133" s="218"/>
      <c r="AB133" s="225"/>
      <c r="AC133" s="218"/>
      <c r="AD133" s="218"/>
      <c r="AE133" s="225"/>
      <c r="AF133" s="249"/>
      <c r="AG133" s="249"/>
      <c r="AH133" s="249"/>
      <c r="AI133" s="249"/>
      <c r="AJ133" s="250"/>
      <c r="AK133" s="250"/>
      <c r="AL133" s="150"/>
    </row>
    <row r="134" spans="2:38" x14ac:dyDescent="0.2">
      <c r="B134" s="214" t="s">
        <v>309</v>
      </c>
      <c r="C134" s="214" t="s">
        <v>328</v>
      </c>
      <c r="D134" s="215" t="s">
        <v>331</v>
      </c>
      <c r="E134" s="216" t="s">
        <v>135</v>
      </c>
      <c r="F134" s="216" t="s">
        <v>330</v>
      </c>
      <c r="G134" s="248">
        <v>1.4011402388</v>
      </c>
      <c r="H134" s="242">
        <v>12884052</v>
      </c>
      <c r="I134" s="220"/>
      <c r="J134" s="234"/>
      <c r="K134" s="218"/>
      <c r="L134" s="218"/>
      <c r="M134" s="234"/>
      <c r="N134" s="234"/>
      <c r="O134" s="225"/>
      <c r="P134" s="234"/>
      <c r="Q134" s="234"/>
      <c r="R134" s="234"/>
      <c r="S134" s="234"/>
      <c r="T134" s="234"/>
      <c r="U134" s="234"/>
      <c r="V134" s="220"/>
      <c r="W134" s="218"/>
      <c r="X134" s="218"/>
      <c r="Y134" s="234"/>
      <c r="Z134" s="220"/>
      <c r="AA134" s="218"/>
      <c r="AB134" s="225"/>
      <c r="AC134" s="218"/>
      <c r="AD134" s="218"/>
      <c r="AE134" s="225"/>
      <c r="AF134" s="249"/>
      <c r="AG134" s="249"/>
      <c r="AH134" s="249"/>
      <c r="AI134" s="249"/>
      <c r="AJ134" s="249"/>
      <c r="AK134" s="249"/>
      <c r="AL134" s="150"/>
    </row>
    <row r="135" spans="2:38" x14ac:dyDescent="0.2">
      <c r="B135" s="214" t="s">
        <v>309</v>
      </c>
      <c r="C135" s="214" t="s">
        <v>328</v>
      </c>
      <c r="D135" s="215" t="s">
        <v>332</v>
      </c>
      <c r="E135" s="216" t="s">
        <v>79</v>
      </c>
      <c r="F135" s="216" t="s">
        <v>330</v>
      </c>
      <c r="G135" s="248">
        <v>1.4380336429</v>
      </c>
      <c r="H135" s="242">
        <v>7531000</v>
      </c>
      <c r="I135" s="220"/>
      <c r="J135" s="234"/>
      <c r="K135" s="218"/>
      <c r="L135" s="218"/>
      <c r="M135" s="234"/>
      <c r="N135" s="234"/>
      <c r="O135" s="225"/>
      <c r="P135" s="234"/>
      <c r="Q135" s="234"/>
      <c r="R135" s="234"/>
      <c r="S135" s="234"/>
      <c r="T135" s="234"/>
      <c r="U135" s="234"/>
      <c r="V135" s="218"/>
      <c r="W135" s="218"/>
      <c r="X135" s="220"/>
      <c r="Y135" s="234"/>
      <c r="Z135" s="220"/>
      <c r="AA135" s="218"/>
      <c r="AB135" s="225"/>
      <c r="AC135" s="220"/>
      <c r="AD135" s="218"/>
      <c r="AE135" s="225"/>
      <c r="AF135" s="249"/>
      <c r="AG135" s="249"/>
      <c r="AH135" s="250"/>
      <c r="AI135" s="250"/>
      <c r="AJ135" s="249"/>
      <c r="AK135" s="249"/>
      <c r="AL135" s="150"/>
    </row>
    <row r="136" spans="2:38" x14ac:dyDescent="0.2">
      <c r="B136" s="214" t="s">
        <v>309</v>
      </c>
      <c r="C136" s="214" t="s">
        <v>328</v>
      </c>
      <c r="D136" s="215" t="s">
        <v>333</v>
      </c>
      <c r="E136" s="216" t="s">
        <v>135</v>
      </c>
      <c r="F136" s="216" t="s">
        <v>330</v>
      </c>
      <c r="G136" s="248">
        <v>1.4011402388</v>
      </c>
      <c r="H136" s="242">
        <v>1465227</v>
      </c>
      <c r="I136" s="220"/>
      <c r="J136" s="225"/>
      <c r="K136" s="218"/>
      <c r="L136" s="218"/>
      <c r="M136" s="234"/>
      <c r="N136" s="234"/>
      <c r="O136" s="225"/>
      <c r="P136" s="234"/>
      <c r="Q136" s="234"/>
      <c r="R136" s="234"/>
      <c r="S136" s="234"/>
      <c r="T136" s="234"/>
      <c r="U136" s="234"/>
      <c r="V136" s="220"/>
      <c r="W136" s="220"/>
      <c r="X136" s="220"/>
      <c r="Y136" s="234"/>
      <c r="Z136" s="220"/>
      <c r="AA136" s="220"/>
      <c r="AB136" s="234"/>
      <c r="AC136" s="220"/>
      <c r="AD136" s="220"/>
      <c r="AE136" s="234"/>
      <c r="AF136" s="250"/>
      <c r="AG136" s="250"/>
      <c r="AH136" s="250"/>
      <c r="AI136" s="250"/>
      <c r="AJ136" s="250"/>
      <c r="AK136" s="250"/>
      <c r="AL136" s="150"/>
    </row>
    <row r="137" spans="2:38" x14ac:dyDescent="0.2">
      <c r="B137" s="214" t="s">
        <v>309</v>
      </c>
      <c r="C137" s="214" t="s">
        <v>328</v>
      </c>
      <c r="D137" s="232" t="s">
        <v>334</v>
      </c>
      <c r="E137" s="216" t="s">
        <v>79</v>
      </c>
      <c r="F137" s="216" t="s">
        <v>330</v>
      </c>
      <c r="G137" s="248">
        <v>1.4380336429</v>
      </c>
      <c r="H137" s="242">
        <v>255058</v>
      </c>
      <c r="I137" s="220"/>
      <c r="J137" s="234"/>
      <c r="K137" s="218"/>
      <c r="L137" s="220"/>
      <c r="M137" s="234"/>
      <c r="N137" s="234"/>
      <c r="O137" s="254"/>
      <c r="P137" s="254"/>
      <c r="Q137" s="234"/>
      <c r="R137" s="234"/>
      <c r="S137" s="234"/>
      <c r="T137" s="254"/>
      <c r="U137" s="234"/>
      <c r="V137" s="220"/>
      <c r="W137" s="218"/>
      <c r="X137" s="220"/>
      <c r="Y137" s="234"/>
      <c r="Z137" s="220"/>
      <c r="AA137" s="218"/>
      <c r="AB137" s="262"/>
      <c r="AC137" s="220"/>
      <c r="AD137" s="220"/>
      <c r="AE137" s="225"/>
      <c r="AF137" s="250"/>
      <c r="AG137" s="250"/>
      <c r="AH137" s="249"/>
      <c r="AI137" s="250"/>
      <c r="AJ137" s="250"/>
      <c r="AK137" s="249"/>
      <c r="AL137" s="150"/>
    </row>
    <row r="138" spans="2:38" x14ac:dyDescent="0.2">
      <c r="B138" s="214" t="s">
        <v>309</v>
      </c>
      <c r="C138" s="214" t="s">
        <v>328</v>
      </c>
      <c r="D138" s="215" t="s">
        <v>336</v>
      </c>
      <c r="E138" s="216" t="s">
        <v>527</v>
      </c>
      <c r="F138" s="216" t="s">
        <v>330</v>
      </c>
      <c r="G138" s="248">
        <v>1.2760210000000001</v>
      </c>
      <c r="H138" s="242">
        <v>14300000</v>
      </c>
      <c r="I138" s="220"/>
      <c r="J138" s="234"/>
      <c r="K138" s="218"/>
      <c r="L138" s="218"/>
      <c r="M138" s="234"/>
      <c r="N138" s="234"/>
      <c r="O138" s="263"/>
      <c r="P138" s="254"/>
      <c r="Q138" s="234"/>
      <c r="R138" s="234"/>
      <c r="S138" s="234"/>
      <c r="T138" s="254"/>
      <c r="U138" s="234"/>
      <c r="V138" s="220"/>
      <c r="W138" s="218"/>
      <c r="X138" s="218"/>
      <c r="Y138" s="234"/>
      <c r="Z138" s="220"/>
      <c r="AA138" s="218"/>
      <c r="AB138" s="262"/>
      <c r="AC138" s="218"/>
      <c r="AD138" s="218"/>
      <c r="AE138" s="225"/>
      <c r="AF138" s="249"/>
      <c r="AG138" s="249"/>
      <c r="AH138" s="249"/>
      <c r="AI138" s="249"/>
      <c r="AJ138" s="249"/>
      <c r="AK138" s="249"/>
      <c r="AL138" s="150"/>
    </row>
    <row r="139" spans="2:38" x14ac:dyDescent="0.2">
      <c r="B139" s="214" t="s">
        <v>309</v>
      </c>
      <c r="C139" s="214" t="s">
        <v>328</v>
      </c>
      <c r="D139" s="215" t="s">
        <v>337</v>
      </c>
      <c r="E139" s="216" t="s">
        <v>79</v>
      </c>
      <c r="F139" s="216" t="s">
        <v>330</v>
      </c>
      <c r="G139" s="248">
        <v>1.2534095315</v>
      </c>
      <c r="H139" s="242">
        <v>624000</v>
      </c>
      <c r="I139" s="220"/>
      <c r="J139" s="234"/>
      <c r="K139" s="218"/>
      <c r="L139" s="220"/>
      <c r="M139" s="234"/>
      <c r="N139" s="234"/>
      <c r="O139" s="264"/>
      <c r="P139" s="254"/>
      <c r="Q139" s="234"/>
      <c r="R139" s="234"/>
      <c r="S139" s="234"/>
      <c r="T139" s="254"/>
      <c r="U139" s="234"/>
      <c r="V139" s="218"/>
      <c r="W139" s="218"/>
      <c r="X139" s="218"/>
      <c r="Y139" s="234"/>
      <c r="Z139" s="220"/>
      <c r="AA139" s="218"/>
      <c r="AB139" s="262"/>
      <c r="AC139" s="218"/>
      <c r="AD139" s="218"/>
      <c r="AE139" s="225"/>
      <c r="AF139" s="249"/>
      <c r="AG139" s="250"/>
      <c r="AH139" s="250"/>
      <c r="AI139" s="250"/>
      <c r="AJ139" s="250"/>
      <c r="AK139" s="249"/>
      <c r="AL139" s="150"/>
    </row>
    <row r="140" spans="2:38" x14ac:dyDescent="0.2">
      <c r="B140" s="214" t="s">
        <v>309</v>
      </c>
      <c r="C140" s="214" t="s">
        <v>328</v>
      </c>
      <c r="D140" s="232" t="s">
        <v>339</v>
      </c>
      <c r="E140" s="216" t="s">
        <v>83</v>
      </c>
      <c r="F140" s="216" t="s">
        <v>330</v>
      </c>
      <c r="G140" s="248">
        <v>1.3502911431</v>
      </c>
      <c r="H140" s="242">
        <v>813595</v>
      </c>
      <c r="I140" s="220"/>
      <c r="J140" s="234"/>
      <c r="K140" s="218"/>
      <c r="L140" s="218"/>
      <c r="M140" s="234"/>
      <c r="N140" s="234"/>
      <c r="O140" s="263"/>
      <c r="P140" s="254"/>
      <c r="Q140" s="234"/>
      <c r="R140" s="234"/>
      <c r="S140" s="234"/>
      <c r="T140" s="254"/>
      <c r="U140" s="225"/>
      <c r="V140" s="218"/>
      <c r="W140" s="220"/>
      <c r="X140" s="220"/>
      <c r="Y140" s="234"/>
      <c r="Z140" s="220"/>
      <c r="AA140" s="220"/>
      <c r="AB140" s="254"/>
      <c r="AC140" s="220"/>
      <c r="AD140" s="220"/>
      <c r="AE140" s="234"/>
      <c r="AF140" s="250"/>
      <c r="AG140" s="250"/>
      <c r="AH140" s="250"/>
      <c r="AI140" s="250"/>
      <c r="AJ140" s="250"/>
      <c r="AK140" s="250"/>
      <c r="AL140" s="150"/>
    </row>
    <row r="141" spans="2:38" x14ac:dyDescent="0.2">
      <c r="B141" s="214" t="s">
        <v>309</v>
      </c>
      <c r="C141" s="214" t="s">
        <v>328</v>
      </c>
      <c r="D141" s="232" t="s">
        <v>340</v>
      </c>
      <c r="E141" s="216" t="s">
        <v>135</v>
      </c>
      <c r="F141" s="216" t="s">
        <v>330</v>
      </c>
      <c r="G141" s="248">
        <v>1.4011402388</v>
      </c>
      <c r="H141" s="242">
        <v>1780521</v>
      </c>
      <c r="I141" s="220"/>
      <c r="J141" s="225"/>
      <c r="K141" s="218"/>
      <c r="L141" s="218"/>
      <c r="M141" s="234"/>
      <c r="N141" s="234"/>
      <c r="O141" s="263"/>
      <c r="P141" s="254"/>
      <c r="Q141" s="234"/>
      <c r="R141" s="234"/>
      <c r="S141" s="234"/>
      <c r="T141" s="254"/>
      <c r="U141" s="234"/>
      <c r="V141" s="220"/>
      <c r="W141" s="218"/>
      <c r="X141" s="220"/>
      <c r="Y141" s="234"/>
      <c r="Z141" s="220"/>
      <c r="AA141" s="218"/>
      <c r="AB141" s="262"/>
      <c r="AC141" s="220"/>
      <c r="AD141" s="218"/>
      <c r="AE141" s="225"/>
      <c r="AF141" s="249"/>
      <c r="AG141" s="249"/>
      <c r="AH141" s="250"/>
      <c r="AI141" s="250"/>
      <c r="AJ141" s="249"/>
      <c r="AK141" s="249"/>
      <c r="AL141" s="150"/>
    </row>
    <row r="142" spans="2:38" x14ac:dyDescent="0.2">
      <c r="B142" s="214" t="s">
        <v>309</v>
      </c>
      <c r="C142" s="214" t="s">
        <v>328</v>
      </c>
      <c r="D142" s="232" t="s">
        <v>341</v>
      </c>
      <c r="E142" s="216" t="s">
        <v>91</v>
      </c>
      <c r="F142" s="216" t="s">
        <v>330</v>
      </c>
      <c r="G142" s="248">
        <v>1.2534095315</v>
      </c>
      <c r="H142" s="242">
        <v>4800000</v>
      </c>
      <c r="I142" s="220"/>
      <c r="J142" s="234"/>
      <c r="K142" s="218"/>
      <c r="L142" s="220"/>
      <c r="M142" s="234"/>
      <c r="N142" s="234"/>
      <c r="O142" s="254"/>
      <c r="P142" s="254"/>
      <c r="Q142" s="234"/>
      <c r="R142" s="234"/>
      <c r="S142" s="234"/>
      <c r="T142" s="254"/>
      <c r="U142" s="234"/>
      <c r="V142" s="220"/>
      <c r="W142" s="220"/>
      <c r="X142" s="220"/>
      <c r="Y142" s="234"/>
      <c r="Z142" s="220"/>
      <c r="AA142" s="220"/>
      <c r="AB142" s="254"/>
      <c r="AC142" s="220"/>
      <c r="AD142" s="218"/>
      <c r="AE142" s="234"/>
      <c r="AF142" s="250"/>
      <c r="AG142" s="250"/>
      <c r="AH142" s="250"/>
      <c r="AI142" s="250"/>
      <c r="AJ142" s="250"/>
      <c r="AK142" s="250"/>
      <c r="AL142" s="150"/>
    </row>
    <row r="143" spans="2:38" x14ac:dyDescent="0.2">
      <c r="B143" s="214" t="s">
        <v>309</v>
      </c>
      <c r="C143" s="214" t="s">
        <v>328</v>
      </c>
      <c r="D143" s="232" t="s">
        <v>342</v>
      </c>
      <c r="E143" s="216" t="s">
        <v>83</v>
      </c>
      <c r="F143" s="216" t="s">
        <v>330</v>
      </c>
      <c r="G143" s="248">
        <v>1.3502911431</v>
      </c>
      <c r="H143" s="242">
        <v>4500000</v>
      </c>
      <c r="I143" s="220"/>
      <c r="J143" s="234"/>
      <c r="K143" s="218"/>
      <c r="L143" s="220"/>
      <c r="M143" s="234"/>
      <c r="N143" s="234"/>
      <c r="O143" s="254"/>
      <c r="P143" s="254"/>
      <c r="Q143" s="234"/>
      <c r="R143" s="234"/>
      <c r="S143" s="234"/>
      <c r="T143" s="254"/>
      <c r="U143" s="234"/>
      <c r="V143" s="220"/>
      <c r="W143" s="220"/>
      <c r="X143" s="220"/>
      <c r="Y143" s="234"/>
      <c r="Z143" s="220"/>
      <c r="AA143" s="220"/>
      <c r="AB143" s="254"/>
      <c r="AC143" s="220"/>
      <c r="AD143" s="220"/>
      <c r="AE143" s="225"/>
      <c r="AF143" s="250"/>
      <c r="AG143" s="250"/>
      <c r="AH143" s="250"/>
      <c r="AI143" s="250"/>
      <c r="AJ143" s="250"/>
      <c r="AK143" s="250"/>
      <c r="AL143" s="150"/>
    </row>
    <row r="144" spans="2:38" x14ac:dyDescent="0.2">
      <c r="B144" s="214" t="s">
        <v>309</v>
      </c>
      <c r="C144" s="214" t="s">
        <v>328</v>
      </c>
      <c r="D144" s="215" t="s">
        <v>343</v>
      </c>
      <c r="E144" s="216" t="s">
        <v>529</v>
      </c>
      <c r="F144" s="216" t="s">
        <v>330</v>
      </c>
      <c r="G144" s="248">
        <v>1.304251</v>
      </c>
      <c r="H144" s="242">
        <v>46442154</v>
      </c>
      <c r="I144" s="220"/>
      <c r="J144" s="225"/>
      <c r="K144" s="218"/>
      <c r="L144" s="218"/>
      <c r="M144" s="234"/>
      <c r="N144" s="234"/>
      <c r="O144" s="263"/>
      <c r="P144" s="234"/>
      <c r="Q144" s="234"/>
      <c r="R144" s="225"/>
      <c r="S144" s="225"/>
      <c r="T144" s="225"/>
      <c r="U144" s="234"/>
      <c r="V144" s="218"/>
      <c r="W144" s="218"/>
      <c r="X144" s="218"/>
      <c r="Y144" s="234"/>
      <c r="Z144" s="218"/>
      <c r="AA144" s="218"/>
      <c r="AB144" s="225"/>
      <c r="AC144" s="218"/>
      <c r="AD144" s="218"/>
      <c r="AE144" s="225"/>
      <c r="AF144" s="249"/>
      <c r="AG144" s="249"/>
      <c r="AH144" s="249"/>
      <c r="AI144" s="249"/>
      <c r="AJ144" s="249"/>
      <c r="AK144" s="249"/>
      <c r="AL144" s="150"/>
    </row>
    <row r="145" spans="2:38" x14ac:dyDescent="0.2">
      <c r="B145" s="214" t="s">
        <v>309</v>
      </c>
      <c r="C145" s="214" t="s">
        <v>328</v>
      </c>
      <c r="D145" s="215" t="s">
        <v>544</v>
      </c>
      <c r="E145" s="216" t="s">
        <v>527</v>
      </c>
      <c r="F145" s="216" t="s">
        <v>330</v>
      </c>
      <c r="G145" s="248">
        <v>1.2760210000000001</v>
      </c>
      <c r="H145" s="242">
        <v>80100000</v>
      </c>
      <c r="I145" s="220"/>
      <c r="J145" s="225"/>
      <c r="K145" s="218"/>
      <c r="L145" s="218"/>
      <c r="M145" s="234"/>
      <c r="N145" s="234"/>
      <c r="O145" s="263"/>
      <c r="P145" s="254"/>
      <c r="Q145" s="234"/>
      <c r="R145" s="225"/>
      <c r="S145" s="225"/>
      <c r="T145" s="225"/>
      <c r="U145" s="234"/>
      <c r="V145" s="218"/>
      <c r="W145" s="218"/>
      <c r="X145" s="218"/>
      <c r="Y145" s="234"/>
      <c r="Z145" s="218"/>
      <c r="AA145" s="218"/>
      <c r="AB145" s="225"/>
      <c r="AC145" s="218"/>
      <c r="AD145" s="218"/>
      <c r="AE145" s="225"/>
      <c r="AF145" s="249"/>
      <c r="AG145" s="249"/>
      <c r="AH145" s="250"/>
      <c r="AI145" s="250"/>
      <c r="AJ145" s="250"/>
      <c r="AK145" s="249"/>
      <c r="AL145" s="150"/>
    </row>
    <row r="146" spans="2:38" x14ac:dyDescent="0.2">
      <c r="B146" s="214" t="s">
        <v>309</v>
      </c>
      <c r="C146" s="214" t="s">
        <v>328</v>
      </c>
      <c r="D146" s="215" t="s">
        <v>344</v>
      </c>
      <c r="E146" s="216" t="s">
        <v>534</v>
      </c>
      <c r="F146" s="216" t="s">
        <v>330</v>
      </c>
      <c r="G146" s="248">
        <v>1.2760210000000001</v>
      </c>
      <c r="H146" s="265">
        <v>16600000</v>
      </c>
      <c r="I146" s="266"/>
      <c r="J146" s="234"/>
      <c r="K146" s="218"/>
      <c r="L146" s="218"/>
      <c r="M146" s="234"/>
      <c r="N146" s="234"/>
      <c r="O146" s="263"/>
      <c r="P146" s="254"/>
      <c r="Q146" s="234"/>
      <c r="R146" s="234"/>
      <c r="S146" s="234"/>
      <c r="T146" s="234"/>
      <c r="U146" s="234"/>
      <c r="V146" s="220"/>
      <c r="W146" s="218"/>
      <c r="X146" s="220"/>
      <c r="Y146" s="234"/>
      <c r="Z146" s="220"/>
      <c r="AA146" s="218"/>
      <c r="AB146" s="262"/>
      <c r="AC146" s="220"/>
      <c r="AD146" s="218"/>
      <c r="AE146" s="225"/>
      <c r="AF146" s="249"/>
      <c r="AG146" s="249"/>
      <c r="AH146" s="249"/>
      <c r="AI146" s="249"/>
      <c r="AJ146" s="250"/>
      <c r="AK146" s="250"/>
      <c r="AL146" s="150"/>
    </row>
    <row r="147" spans="2:38" x14ac:dyDescent="0.2">
      <c r="B147" s="214" t="s">
        <v>309</v>
      </c>
      <c r="C147" s="214" t="s">
        <v>328</v>
      </c>
      <c r="D147" s="215" t="s">
        <v>535</v>
      </c>
      <c r="E147" s="216" t="s">
        <v>529</v>
      </c>
      <c r="F147" s="216" t="s">
        <v>330</v>
      </c>
      <c r="G147" s="248">
        <v>1.304251</v>
      </c>
      <c r="H147" s="265">
        <v>61800000</v>
      </c>
      <c r="I147" s="266"/>
      <c r="J147" s="234"/>
      <c r="K147" s="218"/>
      <c r="L147" s="218"/>
      <c r="M147" s="234"/>
      <c r="N147" s="234"/>
      <c r="O147" s="263"/>
      <c r="P147" s="254"/>
      <c r="Q147" s="234"/>
      <c r="R147" s="234"/>
      <c r="S147" s="234"/>
      <c r="T147" s="225"/>
      <c r="U147" s="234"/>
      <c r="V147" s="218"/>
      <c r="W147" s="218"/>
      <c r="X147" s="218"/>
      <c r="Y147" s="234"/>
      <c r="Z147" s="220"/>
      <c r="AA147" s="218"/>
      <c r="AB147" s="262"/>
      <c r="AC147" s="218"/>
      <c r="AD147" s="218"/>
      <c r="AE147" s="225"/>
      <c r="AF147" s="249"/>
      <c r="AG147" s="249"/>
      <c r="AH147" s="249"/>
      <c r="AI147" s="249"/>
      <c r="AJ147" s="249"/>
      <c r="AK147" s="249"/>
      <c r="AL147" s="150"/>
    </row>
    <row r="148" spans="2:38" x14ac:dyDescent="0.2">
      <c r="B148" s="214" t="s">
        <v>309</v>
      </c>
      <c r="C148" s="214" t="s">
        <v>328</v>
      </c>
      <c r="D148" s="215" t="s">
        <v>345</v>
      </c>
      <c r="E148" s="216" t="s">
        <v>529</v>
      </c>
      <c r="F148" s="216" t="s">
        <v>330</v>
      </c>
      <c r="G148" s="248">
        <v>1.304251</v>
      </c>
      <c r="H148" s="265">
        <v>28600000</v>
      </c>
      <c r="I148" s="266"/>
      <c r="J148" s="234"/>
      <c r="K148" s="218"/>
      <c r="L148" s="218"/>
      <c r="M148" s="234"/>
      <c r="N148" s="234"/>
      <c r="O148" s="263"/>
      <c r="P148" s="254"/>
      <c r="Q148" s="234"/>
      <c r="R148" s="234"/>
      <c r="S148" s="234"/>
      <c r="T148" s="234"/>
      <c r="U148" s="234"/>
      <c r="V148" s="220"/>
      <c r="W148" s="218"/>
      <c r="X148" s="220"/>
      <c r="Y148" s="234"/>
      <c r="Z148" s="220"/>
      <c r="AA148" s="220"/>
      <c r="AB148" s="254"/>
      <c r="AC148" s="220"/>
      <c r="AD148" s="220"/>
      <c r="AE148" s="234"/>
      <c r="AF148" s="250"/>
      <c r="AG148" s="250"/>
      <c r="AH148" s="250"/>
      <c r="AI148" s="250"/>
      <c r="AJ148" s="250"/>
      <c r="AK148" s="250"/>
      <c r="AL148" s="150"/>
    </row>
    <row r="149" spans="2:38" x14ac:dyDescent="0.2">
      <c r="B149" s="214" t="s">
        <v>309</v>
      </c>
      <c r="C149" s="214" t="s">
        <v>328</v>
      </c>
      <c r="D149" s="215" t="s">
        <v>346</v>
      </c>
      <c r="E149" s="216" t="s">
        <v>529</v>
      </c>
      <c r="F149" s="216" t="s">
        <v>330</v>
      </c>
      <c r="G149" s="248">
        <v>1.304251</v>
      </c>
      <c r="H149" s="265">
        <v>28400000</v>
      </c>
      <c r="I149" s="266"/>
      <c r="J149" s="234"/>
      <c r="K149" s="218"/>
      <c r="L149" s="218"/>
      <c r="M149" s="234"/>
      <c r="N149" s="234"/>
      <c r="O149" s="263"/>
      <c r="P149" s="254"/>
      <c r="Q149" s="234"/>
      <c r="R149" s="234"/>
      <c r="S149" s="234"/>
      <c r="T149" s="234"/>
      <c r="U149" s="234"/>
      <c r="V149" s="220"/>
      <c r="W149" s="218"/>
      <c r="X149" s="220"/>
      <c r="Y149" s="234"/>
      <c r="Z149" s="220"/>
      <c r="AA149" s="220"/>
      <c r="AB149" s="254"/>
      <c r="AC149" s="220"/>
      <c r="AD149" s="220"/>
      <c r="AE149" s="234"/>
      <c r="AF149" s="250"/>
      <c r="AG149" s="250"/>
      <c r="AH149" s="250"/>
      <c r="AI149" s="250"/>
      <c r="AJ149" s="250"/>
      <c r="AK149" s="250"/>
      <c r="AL149" s="150"/>
    </row>
    <row r="150" spans="2:38" x14ac:dyDescent="0.2">
      <c r="B150" s="214" t="s">
        <v>309</v>
      </c>
      <c r="C150" s="214" t="s">
        <v>328</v>
      </c>
      <c r="D150" s="215" t="s">
        <v>347</v>
      </c>
      <c r="E150" s="216" t="s">
        <v>529</v>
      </c>
      <c r="F150" s="216" t="s">
        <v>330</v>
      </c>
      <c r="G150" s="248">
        <v>1.304251</v>
      </c>
      <c r="H150" s="265">
        <v>4900000</v>
      </c>
      <c r="I150" s="266"/>
      <c r="J150" s="234"/>
      <c r="K150" s="218"/>
      <c r="L150" s="218"/>
      <c r="M150" s="234"/>
      <c r="N150" s="234"/>
      <c r="O150" s="263"/>
      <c r="P150" s="254"/>
      <c r="Q150" s="234"/>
      <c r="R150" s="234"/>
      <c r="S150" s="234"/>
      <c r="T150" s="234"/>
      <c r="U150" s="234"/>
      <c r="V150" s="220"/>
      <c r="W150" s="218"/>
      <c r="X150" s="220"/>
      <c r="Y150" s="234"/>
      <c r="Z150" s="220"/>
      <c r="AA150" s="220"/>
      <c r="AB150" s="254"/>
      <c r="AC150" s="220"/>
      <c r="AD150" s="220"/>
      <c r="AE150" s="234"/>
      <c r="AF150" s="250"/>
      <c r="AG150" s="250"/>
      <c r="AH150" s="250"/>
      <c r="AI150" s="250"/>
      <c r="AJ150" s="250"/>
      <c r="AK150" s="250"/>
      <c r="AL150" s="150"/>
    </row>
    <row r="151" spans="2:38" x14ac:dyDescent="0.2">
      <c r="B151" s="214" t="s">
        <v>309</v>
      </c>
      <c r="C151" s="214" t="s">
        <v>328</v>
      </c>
      <c r="D151" s="215" t="s">
        <v>348</v>
      </c>
      <c r="E151" s="216" t="s">
        <v>529</v>
      </c>
      <c r="F151" s="216" t="s">
        <v>330</v>
      </c>
      <c r="G151" s="248">
        <v>1.304251</v>
      </c>
      <c r="H151" s="265">
        <v>1500000</v>
      </c>
      <c r="I151" s="266"/>
      <c r="J151" s="234"/>
      <c r="K151" s="218"/>
      <c r="L151" s="220"/>
      <c r="M151" s="234"/>
      <c r="N151" s="234"/>
      <c r="O151" s="254"/>
      <c r="P151" s="254"/>
      <c r="Q151" s="234"/>
      <c r="R151" s="234"/>
      <c r="S151" s="234"/>
      <c r="T151" s="234"/>
      <c r="U151" s="234"/>
      <c r="V151" s="220"/>
      <c r="W151" s="220"/>
      <c r="X151" s="220"/>
      <c r="Y151" s="234"/>
      <c r="Z151" s="220"/>
      <c r="AA151" s="220"/>
      <c r="AB151" s="254"/>
      <c r="AC151" s="220"/>
      <c r="AD151" s="220"/>
      <c r="AE151" s="234"/>
      <c r="AF151" s="250"/>
      <c r="AG151" s="250"/>
      <c r="AH151" s="250"/>
      <c r="AI151" s="250"/>
      <c r="AJ151" s="250"/>
      <c r="AK151" s="250"/>
      <c r="AL151" s="150"/>
    </row>
    <row r="152" spans="2:38" x14ac:dyDescent="0.2">
      <c r="B152" s="214" t="s">
        <v>309</v>
      </c>
      <c r="C152" s="214" t="s">
        <v>328</v>
      </c>
      <c r="D152" s="215" t="s">
        <v>349</v>
      </c>
      <c r="E152" s="216" t="s">
        <v>135</v>
      </c>
      <c r="F152" s="216" t="s">
        <v>330</v>
      </c>
      <c r="G152" s="248">
        <v>1.4011402388</v>
      </c>
      <c r="H152" s="265">
        <v>2300000</v>
      </c>
      <c r="I152" s="266"/>
      <c r="J152" s="225"/>
      <c r="K152" s="218"/>
      <c r="L152" s="220"/>
      <c r="M152" s="234"/>
      <c r="N152" s="234"/>
      <c r="O152" s="254"/>
      <c r="P152" s="254"/>
      <c r="Q152" s="234"/>
      <c r="R152" s="234"/>
      <c r="S152" s="234"/>
      <c r="T152" s="234"/>
      <c r="U152" s="234"/>
      <c r="V152" s="220"/>
      <c r="W152" s="220"/>
      <c r="X152" s="220"/>
      <c r="Y152" s="234"/>
      <c r="Z152" s="220"/>
      <c r="AA152" s="220"/>
      <c r="AB152" s="254"/>
      <c r="AC152" s="220"/>
      <c r="AD152" s="220"/>
      <c r="AE152" s="234"/>
      <c r="AF152" s="250"/>
      <c r="AG152" s="250"/>
      <c r="AH152" s="250"/>
      <c r="AI152" s="250"/>
      <c r="AJ152" s="250"/>
      <c r="AK152" s="250"/>
      <c r="AL152" s="150"/>
    </row>
    <row r="153" spans="2:38" x14ac:dyDescent="0.2">
      <c r="B153" s="214" t="s">
        <v>309</v>
      </c>
      <c r="C153" s="214" t="s">
        <v>350</v>
      </c>
      <c r="D153" s="215" t="s">
        <v>351</v>
      </c>
      <c r="E153" s="216" t="s">
        <v>527</v>
      </c>
      <c r="F153" s="216" t="s">
        <v>352</v>
      </c>
      <c r="G153" s="248">
        <v>1.0169459999999999</v>
      </c>
      <c r="H153" s="265">
        <v>17677035</v>
      </c>
      <c r="I153" s="266"/>
      <c r="J153" s="225"/>
      <c r="K153" s="218"/>
      <c r="L153" s="218"/>
      <c r="M153" s="234"/>
      <c r="N153" s="225"/>
      <c r="O153" s="225"/>
      <c r="P153" s="264"/>
      <c r="Q153" s="234"/>
      <c r="R153" s="234"/>
      <c r="S153" s="234"/>
      <c r="T153" s="234"/>
      <c r="U153" s="234"/>
      <c r="V153" s="218"/>
      <c r="W153" s="218"/>
      <c r="X153" s="218"/>
      <c r="Y153" s="234"/>
      <c r="Z153" s="220"/>
      <c r="AA153" s="218"/>
      <c r="AB153" s="262"/>
      <c r="AC153" s="218"/>
      <c r="AD153" s="218"/>
      <c r="AE153" s="225"/>
      <c r="AF153" s="249"/>
      <c r="AG153" s="249"/>
      <c r="AH153" s="249"/>
      <c r="AI153" s="249"/>
      <c r="AJ153" s="249"/>
      <c r="AK153" s="249"/>
      <c r="AL153" s="150"/>
    </row>
    <row r="154" spans="2:38" x14ac:dyDescent="0.2">
      <c r="B154" s="214" t="s">
        <v>309</v>
      </c>
      <c r="C154" s="214" t="s">
        <v>350</v>
      </c>
      <c r="D154" s="215" t="s">
        <v>353</v>
      </c>
      <c r="E154" s="216" t="s">
        <v>527</v>
      </c>
      <c r="F154" s="216" t="s">
        <v>352</v>
      </c>
      <c r="G154" s="248">
        <v>1.0169459999999999</v>
      </c>
      <c r="H154" s="265">
        <v>31113488</v>
      </c>
      <c r="I154" s="266"/>
      <c r="J154" s="225"/>
      <c r="K154" s="218"/>
      <c r="L154" s="218"/>
      <c r="M154" s="225"/>
      <c r="N154" s="225"/>
      <c r="O154" s="225"/>
      <c r="P154" s="267"/>
      <c r="Q154" s="234"/>
      <c r="R154" s="234"/>
      <c r="S154" s="234"/>
      <c r="T154" s="234"/>
      <c r="U154" s="234"/>
      <c r="V154" s="220"/>
      <c r="W154" s="218"/>
      <c r="X154" s="218"/>
      <c r="Y154" s="234"/>
      <c r="Z154" s="220"/>
      <c r="AA154" s="218"/>
      <c r="AB154" s="262"/>
      <c r="AC154" s="218"/>
      <c r="AD154" s="218"/>
      <c r="AE154" s="225"/>
      <c r="AF154" s="249"/>
      <c r="AG154" s="249"/>
      <c r="AH154" s="249"/>
      <c r="AI154" s="249"/>
      <c r="AJ154" s="249"/>
      <c r="AK154" s="249"/>
      <c r="AL154" s="150"/>
    </row>
    <row r="155" spans="2:38" x14ac:dyDescent="0.2">
      <c r="B155" s="214" t="s">
        <v>309</v>
      </c>
      <c r="C155" s="214" t="s">
        <v>354</v>
      </c>
      <c r="D155" s="232" t="s">
        <v>355</v>
      </c>
      <c r="E155" s="216" t="s">
        <v>527</v>
      </c>
      <c r="F155" s="216" t="s">
        <v>352</v>
      </c>
      <c r="G155" s="248">
        <v>1.0169459999999999</v>
      </c>
      <c r="H155" s="265">
        <v>8578064</v>
      </c>
      <c r="I155" s="266"/>
      <c r="J155" s="225"/>
      <c r="K155" s="218"/>
      <c r="L155" s="218"/>
      <c r="M155" s="234"/>
      <c r="N155" s="234"/>
      <c r="O155" s="225"/>
      <c r="P155" s="267"/>
      <c r="Q155" s="234"/>
      <c r="R155" s="234"/>
      <c r="S155" s="234"/>
      <c r="T155" s="254"/>
      <c r="U155" s="234"/>
      <c r="V155" s="220"/>
      <c r="W155" s="218"/>
      <c r="X155" s="218"/>
      <c r="Y155" s="234"/>
      <c r="Z155" s="220"/>
      <c r="AA155" s="218"/>
      <c r="AB155" s="262"/>
      <c r="AC155" s="220"/>
      <c r="AD155" s="220"/>
      <c r="AE155" s="225"/>
      <c r="AF155" s="249"/>
      <c r="AG155" s="249"/>
      <c r="AH155" s="249"/>
      <c r="AI155" s="249"/>
      <c r="AJ155" s="249"/>
      <c r="AK155" s="250"/>
      <c r="AL155" s="150"/>
    </row>
    <row r="156" spans="2:38" x14ac:dyDescent="0.2">
      <c r="B156" s="214" t="s">
        <v>309</v>
      </c>
      <c r="C156" s="214" t="s">
        <v>356</v>
      </c>
      <c r="D156" s="215" t="s">
        <v>357</v>
      </c>
      <c r="E156" s="216" t="s">
        <v>527</v>
      </c>
      <c r="F156" s="216" t="s">
        <v>110</v>
      </c>
      <c r="G156" s="248">
        <v>1.145548</v>
      </c>
      <c r="H156" s="265">
        <v>263753406</v>
      </c>
      <c r="I156" s="268"/>
      <c r="J156" s="225"/>
      <c r="K156" s="218"/>
      <c r="L156" s="218"/>
      <c r="M156" s="234"/>
      <c r="N156" s="234"/>
      <c r="O156" s="263"/>
      <c r="P156" s="225"/>
      <c r="Q156" s="225"/>
      <c r="R156" s="225"/>
      <c r="S156" s="225"/>
      <c r="T156" s="225"/>
      <c r="U156" s="225"/>
      <c r="V156" s="218"/>
      <c r="W156" s="218"/>
      <c r="X156" s="220"/>
      <c r="Y156" s="234"/>
      <c r="Z156" s="220"/>
      <c r="AA156" s="220"/>
      <c r="AB156" s="254"/>
      <c r="AC156" s="220"/>
      <c r="AD156" s="218"/>
      <c r="AE156" s="234"/>
      <c r="AF156" s="250"/>
      <c r="AG156" s="250"/>
      <c r="AH156" s="250"/>
      <c r="AI156" s="250"/>
      <c r="AJ156" s="250"/>
      <c r="AK156" s="250"/>
      <c r="AL156" s="150"/>
    </row>
    <row r="157" spans="2:38" x14ac:dyDescent="0.2">
      <c r="B157" s="214"/>
      <c r="C157" s="214"/>
      <c r="D157" s="215" t="s">
        <v>543</v>
      </c>
      <c r="E157" s="216" t="s">
        <v>527</v>
      </c>
      <c r="F157" s="216" t="s">
        <v>110</v>
      </c>
      <c r="G157" s="248">
        <v>1.145548</v>
      </c>
      <c r="H157" s="265">
        <f>263753406+16581850</f>
        <v>280335256</v>
      </c>
      <c r="I157" s="266"/>
      <c r="J157" s="225"/>
      <c r="K157" s="218"/>
      <c r="L157" s="220"/>
      <c r="M157" s="234"/>
      <c r="N157" s="234"/>
      <c r="O157" s="264"/>
      <c r="P157" s="234"/>
      <c r="Q157" s="234"/>
      <c r="R157" s="234"/>
      <c r="S157" s="234"/>
      <c r="T157" s="234"/>
      <c r="U157" s="234"/>
      <c r="V157" s="220"/>
      <c r="W157" s="218"/>
      <c r="X157" s="218"/>
      <c r="Y157" s="234"/>
      <c r="Z157" s="218"/>
      <c r="AA157" s="218"/>
      <c r="AB157" s="225"/>
      <c r="AC157" s="220"/>
      <c r="AD157" s="220"/>
      <c r="AE157" s="225"/>
      <c r="AF157" s="249"/>
      <c r="AG157" s="249"/>
      <c r="AH157" s="249"/>
      <c r="AI157" s="249"/>
      <c r="AJ157" s="249"/>
      <c r="AK157" s="249"/>
      <c r="AL157" s="150"/>
    </row>
    <row r="158" spans="2:38" x14ac:dyDescent="0.2">
      <c r="B158" s="214" t="s">
        <v>309</v>
      </c>
      <c r="C158" s="214" t="s">
        <v>358</v>
      </c>
      <c r="D158" s="215" t="s">
        <v>536</v>
      </c>
      <c r="E158" s="216" t="s">
        <v>527</v>
      </c>
      <c r="F158" s="216" t="s">
        <v>110</v>
      </c>
      <c r="G158" s="248">
        <v>1.145548</v>
      </c>
      <c r="H158" s="265">
        <v>55325527</v>
      </c>
      <c r="I158" s="266"/>
      <c r="J158" s="225"/>
      <c r="K158" s="218"/>
      <c r="L158" s="218"/>
      <c r="M158" s="234"/>
      <c r="N158" s="234"/>
      <c r="O158" s="225"/>
      <c r="P158" s="254"/>
      <c r="Q158" s="234"/>
      <c r="R158" s="234"/>
      <c r="S158" s="234"/>
      <c r="T158" s="225"/>
      <c r="U158" s="234"/>
      <c r="V158" s="218"/>
      <c r="W158" s="218"/>
      <c r="X158" s="218"/>
      <c r="Y158" s="234"/>
      <c r="Z158" s="220"/>
      <c r="AA158" s="218"/>
      <c r="AB158" s="225"/>
      <c r="AC158" s="218"/>
      <c r="AD158" s="218"/>
      <c r="AE158" s="225"/>
      <c r="AF158" s="249"/>
      <c r="AG158" s="249"/>
      <c r="AH158" s="249"/>
      <c r="AI158" s="249"/>
      <c r="AJ158" s="249"/>
      <c r="AK158" s="249"/>
      <c r="AL158" s="150"/>
    </row>
    <row r="159" spans="2:38" x14ac:dyDescent="0.2">
      <c r="B159" s="214" t="s">
        <v>309</v>
      </c>
      <c r="C159" s="214" t="s">
        <v>359</v>
      </c>
      <c r="D159" s="232" t="s">
        <v>360</v>
      </c>
      <c r="E159" s="216" t="s">
        <v>83</v>
      </c>
      <c r="F159" s="216" t="s">
        <v>110</v>
      </c>
      <c r="G159" s="248">
        <v>1.1998614888000001</v>
      </c>
      <c r="H159" s="265">
        <v>3600000</v>
      </c>
      <c r="I159" s="266"/>
      <c r="J159" s="234"/>
      <c r="K159" s="218"/>
      <c r="L159" s="220"/>
      <c r="M159" s="234"/>
      <c r="N159" s="234"/>
      <c r="O159" s="254"/>
      <c r="P159" s="254"/>
      <c r="Q159" s="234"/>
      <c r="R159" s="234"/>
      <c r="S159" s="234"/>
      <c r="T159" s="254"/>
      <c r="U159" s="234"/>
      <c r="V159" s="220"/>
      <c r="W159" s="220"/>
      <c r="X159" s="220"/>
      <c r="Y159" s="234"/>
      <c r="Z159" s="220"/>
      <c r="AA159" s="218"/>
      <c r="AB159" s="262"/>
      <c r="AC159" s="220"/>
      <c r="AD159" s="220"/>
      <c r="AE159" s="225"/>
      <c r="AF159" s="249"/>
      <c r="AG159" s="249"/>
      <c r="AH159" s="249"/>
      <c r="AI159" s="249"/>
      <c r="AJ159" s="250"/>
      <c r="AK159" s="250"/>
      <c r="AL159" s="150"/>
    </row>
    <row r="160" spans="2:38" x14ac:dyDescent="0.2">
      <c r="B160" s="214" t="s">
        <v>309</v>
      </c>
      <c r="C160" s="214" t="s">
        <v>361</v>
      </c>
      <c r="D160" s="215" t="s">
        <v>362</v>
      </c>
      <c r="E160" s="216" t="s">
        <v>527</v>
      </c>
      <c r="F160" s="216" t="s">
        <v>110</v>
      </c>
      <c r="G160" s="248">
        <v>1.145548</v>
      </c>
      <c r="H160" s="265">
        <v>79181000</v>
      </c>
      <c r="I160" s="266"/>
      <c r="J160" s="225"/>
      <c r="K160" s="218"/>
      <c r="L160" s="220"/>
      <c r="M160" s="234"/>
      <c r="N160" s="234"/>
      <c r="O160" s="264"/>
      <c r="P160" s="254"/>
      <c r="Q160" s="234"/>
      <c r="R160" s="234"/>
      <c r="S160" s="234"/>
      <c r="T160" s="254"/>
      <c r="U160" s="234"/>
      <c r="V160" s="220"/>
      <c r="W160" s="218"/>
      <c r="X160" s="218"/>
      <c r="Y160" s="234"/>
      <c r="Z160" s="220"/>
      <c r="AA160" s="218"/>
      <c r="AB160" s="225"/>
      <c r="AC160" s="218"/>
      <c r="AD160" s="218"/>
      <c r="AE160" s="225"/>
      <c r="AF160" s="249"/>
      <c r="AG160" s="249"/>
      <c r="AH160" s="249"/>
      <c r="AI160" s="249"/>
      <c r="AJ160" s="249"/>
      <c r="AK160" s="249"/>
      <c r="AL160" s="150"/>
    </row>
    <row r="161" spans="2:38" x14ac:dyDescent="0.2">
      <c r="B161" s="214"/>
      <c r="C161" s="214"/>
      <c r="D161" s="215" t="s">
        <v>537</v>
      </c>
      <c r="E161" s="216" t="s">
        <v>527</v>
      </c>
      <c r="F161" s="216" t="s">
        <v>110</v>
      </c>
      <c r="G161" s="248">
        <v>1.145548</v>
      </c>
      <c r="H161" s="265">
        <v>71100000</v>
      </c>
      <c r="I161" s="266"/>
      <c r="J161" s="234"/>
      <c r="K161" s="218"/>
      <c r="L161" s="218"/>
      <c r="M161" s="234"/>
      <c r="N161" s="234"/>
      <c r="O161" s="263"/>
      <c r="P161" s="254"/>
      <c r="Q161" s="234"/>
      <c r="R161" s="234"/>
      <c r="S161" s="234"/>
      <c r="T161" s="254"/>
      <c r="U161" s="234"/>
      <c r="V161" s="218"/>
      <c r="W161" s="218"/>
      <c r="X161" s="218"/>
      <c r="Y161" s="234"/>
      <c r="Z161" s="220"/>
      <c r="AA161" s="220"/>
      <c r="AB161" s="234"/>
      <c r="AC161" s="218"/>
      <c r="AD161" s="218"/>
      <c r="AE161" s="234"/>
      <c r="AF161" s="250"/>
      <c r="AG161" s="250"/>
      <c r="AH161" s="250"/>
      <c r="AI161" s="250"/>
      <c r="AJ161" s="250"/>
      <c r="AK161" s="250"/>
      <c r="AL161" s="150"/>
    </row>
    <row r="162" spans="2:38" x14ac:dyDescent="0.2">
      <c r="B162" s="214" t="s">
        <v>309</v>
      </c>
      <c r="C162" s="214" t="s">
        <v>365</v>
      </c>
      <c r="D162" s="215" t="s">
        <v>366</v>
      </c>
      <c r="E162" s="216" t="s">
        <v>527</v>
      </c>
      <c r="F162" s="216" t="s">
        <v>110</v>
      </c>
      <c r="G162" s="248">
        <v>1.145548</v>
      </c>
      <c r="H162" s="265">
        <v>6800000</v>
      </c>
      <c r="I162" s="266"/>
      <c r="J162" s="225"/>
      <c r="K162" s="218"/>
      <c r="L162" s="218"/>
      <c r="M162" s="234"/>
      <c r="N162" s="234"/>
      <c r="O162" s="263"/>
      <c r="P162" s="254"/>
      <c r="Q162" s="234"/>
      <c r="R162" s="234"/>
      <c r="S162" s="234"/>
      <c r="T162" s="254"/>
      <c r="U162" s="234"/>
      <c r="V162" s="218"/>
      <c r="W162" s="218"/>
      <c r="X162" s="218"/>
      <c r="Y162" s="234"/>
      <c r="Z162" s="220"/>
      <c r="AA162" s="218"/>
      <c r="AB162" s="262"/>
      <c r="AC162" s="218"/>
      <c r="AD162" s="218"/>
      <c r="AE162" s="225"/>
      <c r="AF162" s="249"/>
      <c r="AG162" s="249"/>
      <c r="AH162" s="249"/>
      <c r="AI162" s="249"/>
      <c r="AJ162" s="249"/>
      <c r="AK162" s="249"/>
      <c r="AL162" s="150"/>
    </row>
    <row r="163" spans="2:38" x14ac:dyDescent="0.2">
      <c r="B163" s="214" t="s">
        <v>367</v>
      </c>
      <c r="C163" s="214" t="s">
        <v>368</v>
      </c>
      <c r="D163" s="215" t="s">
        <v>369</v>
      </c>
      <c r="E163" s="216" t="s">
        <v>527</v>
      </c>
      <c r="F163" s="216" t="s">
        <v>370</v>
      </c>
      <c r="G163" s="248">
        <v>0.15343499999999999</v>
      </c>
      <c r="H163" s="242">
        <v>30300000</v>
      </c>
      <c r="I163" s="220"/>
      <c r="J163" s="225"/>
      <c r="K163" s="218"/>
      <c r="L163" s="218"/>
      <c r="M163" s="225"/>
      <c r="N163" s="225"/>
      <c r="O163" s="225"/>
      <c r="P163" s="234"/>
      <c r="Q163" s="234"/>
      <c r="R163" s="234"/>
      <c r="S163" s="234"/>
      <c r="T163" s="225"/>
      <c r="U163" s="234"/>
      <c r="V163" s="218"/>
      <c r="W163" s="218"/>
      <c r="X163" s="218"/>
      <c r="Y163" s="234"/>
      <c r="Z163" s="220"/>
      <c r="AA163" s="218"/>
      <c r="AB163" s="225"/>
      <c r="AC163" s="218"/>
      <c r="AD163" s="218"/>
      <c r="AE163" s="225"/>
      <c r="AF163" s="249"/>
      <c r="AG163" s="249"/>
      <c r="AH163" s="249"/>
      <c r="AI163" s="249"/>
      <c r="AJ163" s="249"/>
      <c r="AK163" s="249"/>
      <c r="AL163" s="150"/>
    </row>
    <row r="164" spans="2:38" x14ac:dyDescent="0.2">
      <c r="B164" s="214" t="s">
        <v>367</v>
      </c>
      <c r="C164" s="214" t="s">
        <v>371</v>
      </c>
      <c r="D164" s="215" t="s">
        <v>372</v>
      </c>
      <c r="E164" s="216" t="s">
        <v>527</v>
      </c>
      <c r="F164" s="216" t="s">
        <v>373</v>
      </c>
      <c r="G164" s="248">
        <v>8.6E-3</v>
      </c>
      <c r="H164" s="242">
        <v>10596441</v>
      </c>
      <c r="I164" s="257"/>
      <c r="J164" s="225"/>
      <c r="K164" s="218"/>
      <c r="L164" s="220"/>
      <c r="M164" s="234"/>
      <c r="N164" s="234"/>
      <c r="O164" s="234"/>
      <c r="P164" s="225"/>
      <c r="Q164" s="234"/>
      <c r="R164" s="234"/>
      <c r="S164" s="234"/>
      <c r="T164" s="234"/>
      <c r="U164" s="234"/>
      <c r="V164" s="220"/>
      <c r="W164" s="218"/>
      <c r="X164" s="218"/>
      <c r="Y164" s="234"/>
      <c r="Z164" s="220"/>
      <c r="AA164" s="218"/>
      <c r="AB164" s="225"/>
      <c r="AC164" s="218"/>
      <c r="AD164" s="218"/>
      <c r="AE164" s="225"/>
      <c r="AF164" s="249"/>
      <c r="AG164" s="249"/>
      <c r="AH164" s="249"/>
      <c r="AI164" s="249"/>
      <c r="AJ164" s="249"/>
      <c r="AK164" s="249"/>
      <c r="AL164" s="150"/>
    </row>
    <row r="165" spans="2:38" x14ac:dyDescent="0.2">
      <c r="B165" s="214" t="s">
        <v>367</v>
      </c>
      <c r="C165" s="214" t="s">
        <v>374</v>
      </c>
      <c r="D165" s="215" t="s">
        <v>542</v>
      </c>
      <c r="E165" s="216" t="s">
        <v>527</v>
      </c>
      <c r="F165" s="216" t="s">
        <v>110</v>
      </c>
      <c r="G165" s="248">
        <v>1.145548</v>
      </c>
      <c r="H165" s="242">
        <v>25000000</v>
      </c>
      <c r="I165" s="220"/>
      <c r="J165" s="225"/>
      <c r="K165" s="218"/>
      <c r="L165" s="218"/>
      <c r="M165" s="234"/>
      <c r="N165" s="234"/>
      <c r="O165" s="225"/>
      <c r="P165" s="234"/>
      <c r="Q165" s="234"/>
      <c r="R165" s="234"/>
      <c r="S165" s="234"/>
      <c r="T165" s="234"/>
      <c r="U165" s="234"/>
      <c r="V165" s="220"/>
      <c r="W165" s="218"/>
      <c r="X165" s="218"/>
      <c r="Y165" s="234"/>
      <c r="Z165" s="220"/>
      <c r="AA165" s="218"/>
      <c r="AB165" s="225"/>
      <c r="AC165" s="218"/>
      <c r="AD165" s="218"/>
      <c r="AE165" s="225"/>
      <c r="AF165" s="249"/>
      <c r="AG165" s="249"/>
      <c r="AH165" s="249"/>
      <c r="AI165" s="249"/>
      <c r="AJ165" s="249"/>
      <c r="AK165" s="249"/>
      <c r="AL165" s="150"/>
    </row>
    <row r="166" spans="2:38" x14ac:dyDescent="0.2">
      <c r="B166" s="214" t="s">
        <v>367</v>
      </c>
      <c r="C166" s="214" t="s">
        <v>375</v>
      </c>
      <c r="D166" s="215" t="s">
        <v>376</v>
      </c>
      <c r="E166" s="216" t="s">
        <v>527</v>
      </c>
      <c r="F166" s="216" t="s">
        <v>377</v>
      </c>
      <c r="G166" s="248">
        <v>0.115562</v>
      </c>
      <c r="H166" s="242">
        <v>57176638</v>
      </c>
      <c r="I166" s="218"/>
      <c r="J166" s="225"/>
      <c r="K166" s="218"/>
      <c r="L166" s="218"/>
      <c r="M166" s="225"/>
      <c r="N166" s="225"/>
      <c r="O166" s="225"/>
      <c r="P166" s="225"/>
      <c r="Q166" s="234"/>
      <c r="R166" s="234"/>
      <c r="S166" s="234"/>
      <c r="T166" s="234"/>
      <c r="U166" s="234"/>
      <c r="V166" s="218"/>
      <c r="W166" s="218"/>
      <c r="X166" s="218"/>
      <c r="Y166" s="234"/>
      <c r="Z166" s="218"/>
      <c r="AA166" s="218"/>
      <c r="AB166" s="225"/>
      <c r="AC166" s="218"/>
      <c r="AD166" s="218"/>
      <c r="AE166" s="225"/>
      <c r="AF166" s="249"/>
      <c r="AG166" s="249"/>
      <c r="AH166" s="249"/>
      <c r="AI166" s="249"/>
      <c r="AJ166" s="249"/>
      <c r="AK166" s="249"/>
      <c r="AL166" s="150"/>
    </row>
    <row r="167" spans="2:38" x14ac:dyDescent="0.2">
      <c r="B167" s="214" t="s">
        <v>367</v>
      </c>
      <c r="C167" s="214" t="s">
        <v>378</v>
      </c>
      <c r="D167" s="215" t="s">
        <v>379</v>
      </c>
      <c r="E167" s="216" t="s">
        <v>527</v>
      </c>
      <c r="F167" s="216" t="s">
        <v>380</v>
      </c>
      <c r="G167" s="248">
        <v>0.11273900000000001</v>
      </c>
      <c r="H167" s="242">
        <v>42017000</v>
      </c>
      <c r="I167" s="220"/>
      <c r="J167" s="234"/>
      <c r="K167" s="218"/>
      <c r="L167" s="218"/>
      <c r="M167" s="225"/>
      <c r="N167" s="225"/>
      <c r="O167" s="225"/>
      <c r="P167" s="234"/>
      <c r="Q167" s="234"/>
      <c r="R167" s="234"/>
      <c r="S167" s="234"/>
      <c r="T167" s="225"/>
      <c r="U167" s="225"/>
      <c r="V167" s="218"/>
      <c r="W167" s="218"/>
      <c r="X167" s="218"/>
      <c r="Y167" s="234"/>
      <c r="Z167" s="220"/>
      <c r="AA167" s="218"/>
      <c r="AB167" s="225"/>
      <c r="AC167" s="218"/>
      <c r="AD167" s="218"/>
      <c r="AE167" s="225"/>
      <c r="AF167" s="249"/>
      <c r="AG167" s="249"/>
      <c r="AH167" s="249"/>
      <c r="AI167" s="249"/>
      <c r="AJ167" s="249"/>
      <c r="AK167" s="249"/>
      <c r="AL167" s="150"/>
    </row>
    <row r="168" spans="2:38" x14ac:dyDescent="0.2">
      <c r="B168" s="214" t="s">
        <v>367</v>
      </c>
      <c r="C168" s="214" t="s">
        <v>381</v>
      </c>
      <c r="D168" s="232" t="s">
        <v>382</v>
      </c>
      <c r="E168" s="216" t="s">
        <v>83</v>
      </c>
      <c r="F168" s="216" t="s">
        <v>110</v>
      </c>
      <c r="G168" s="248">
        <v>1.1998614888000001</v>
      </c>
      <c r="H168" s="242">
        <v>6100000</v>
      </c>
      <c r="I168" s="220"/>
      <c r="J168" s="225"/>
      <c r="K168" s="218"/>
      <c r="L168" s="218"/>
      <c r="M168" s="234"/>
      <c r="N168" s="234"/>
      <c r="O168" s="225"/>
      <c r="P168" s="234"/>
      <c r="Q168" s="234"/>
      <c r="R168" s="234"/>
      <c r="S168" s="234"/>
      <c r="T168" s="234"/>
      <c r="U168" s="234"/>
      <c r="V168" s="220"/>
      <c r="W168" s="220"/>
      <c r="X168" s="220"/>
      <c r="Y168" s="234"/>
      <c r="Z168" s="220"/>
      <c r="AA168" s="220"/>
      <c r="AB168" s="234"/>
      <c r="AC168" s="220"/>
      <c r="AD168" s="220"/>
      <c r="AE168" s="225"/>
      <c r="AF168" s="250"/>
      <c r="AG168" s="250"/>
      <c r="AH168" s="250"/>
      <c r="AI168" s="250"/>
      <c r="AJ168" s="250"/>
      <c r="AK168" s="250"/>
      <c r="AL168" s="150"/>
    </row>
    <row r="169" spans="2:38" x14ac:dyDescent="0.2">
      <c r="B169" s="214" t="s">
        <v>367</v>
      </c>
      <c r="C169" s="214" t="s">
        <v>383</v>
      </c>
      <c r="D169" s="232" t="s">
        <v>384</v>
      </c>
      <c r="E169" s="216" t="s">
        <v>385</v>
      </c>
      <c r="F169" s="216" t="s">
        <v>110</v>
      </c>
      <c r="G169" s="248">
        <v>1.169062244</v>
      </c>
      <c r="H169" s="242">
        <v>2900000</v>
      </c>
      <c r="I169" s="220"/>
      <c r="J169" s="234"/>
      <c r="K169" s="218"/>
      <c r="L169" s="218"/>
      <c r="M169" s="234"/>
      <c r="N169" s="234"/>
      <c r="O169" s="225"/>
      <c r="P169" s="234"/>
      <c r="Q169" s="234"/>
      <c r="R169" s="234"/>
      <c r="S169" s="234"/>
      <c r="T169" s="234"/>
      <c r="U169" s="234"/>
      <c r="V169" s="220"/>
      <c r="W169" s="220"/>
      <c r="X169" s="220"/>
      <c r="Y169" s="234"/>
      <c r="Z169" s="220"/>
      <c r="AA169" s="220"/>
      <c r="AB169" s="234"/>
      <c r="AC169" s="220"/>
      <c r="AD169" s="220"/>
      <c r="AE169" s="234"/>
      <c r="AF169" s="250"/>
      <c r="AG169" s="250"/>
      <c r="AH169" s="250"/>
      <c r="AI169" s="250"/>
      <c r="AJ169" s="250"/>
      <c r="AK169" s="250"/>
      <c r="AL169" s="150"/>
    </row>
    <row r="170" spans="2:38" x14ac:dyDescent="0.2">
      <c r="B170" s="214" t="s">
        <v>367</v>
      </c>
      <c r="C170" s="214" t="s">
        <v>387</v>
      </c>
      <c r="D170" s="215" t="s">
        <v>388</v>
      </c>
      <c r="E170" s="216" t="s">
        <v>527</v>
      </c>
      <c r="F170" s="216" t="s">
        <v>110</v>
      </c>
      <c r="G170" s="248">
        <v>1.145548</v>
      </c>
      <c r="H170" s="242">
        <f>(3007644+61894)</f>
        <v>3069538</v>
      </c>
      <c r="I170" s="220"/>
      <c r="J170" s="225"/>
      <c r="K170" s="218"/>
      <c r="L170" s="218"/>
      <c r="M170" s="234"/>
      <c r="N170" s="234"/>
      <c r="O170" s="225"/>
      <c r="P170" s="234"/>
      <c r="Q170" s="234"/>
      <c r="R170" s="234"/>
      <c r="S170" s="234"/>
      <c r="T170" s="225"/>
      <c r="U170" s="234"/>
      <c r="V170" s="220"/>
      <c r="W170" s="218"/>
      <c r="X170" s="218"/>
      <c r="Y170" s="234"/>
      <c r="Z170" s="220"/>
      <c r="AA170" s="218"/>
      <c r="AB170" s="225"/>
      <c r="AC170" s="218"/>
      <c r="AD170" s="218"/>
      <c r="AE170" s="225"/>
      <c r="AF170" s="249"/>
      <c r="AG170" s="249"/>
      <c r="AH170" s="249"/>
      <c r="AI170" s="249"/>
      <c r="AJ170" s="249"/>
      <c r="AK170" s="249"/>
      <c r="AL170" s="150"/>
    </row>
    <row r="171" spans="2:38" x14ac:dyDescent="0.2">
      <c r="B171" s="214" t="s">
        <v>390</v>
      </c>
      <c r="C171" s="214" t="s">
        <v>391</v>
      </c>
      <c r="D171" s="215" t="s">
        <v>1026</v>
      </c>
      <c r="E171" s="216" t="s">
        <v>199</v>
      </c>
      <c r="F171" s="216" t="s">
        <v>393</v>
      </c>
      <c r="G171" s="248">
        <v>0.740456</v>
      </c>
      <c r="H171" s="265">
        <v>23435252</v>
      </c>
      <c r="I171" s="266"/>
      <c r="J171" s="225"/>
      <c r="K171" s="218"/>
      <c r="L171" s="218"/>
      <c r="M171" s="234"/>
      <c r="N171" s="234"/>
      <c r="O171" s="263"/>
      <c r="P171" s="254"/>
      <c r="Q171" s="234"/>
      <c r="R171" s="234"/>
      <c r="S171" s="234"/>
      <c r="T171" s="234"/>
      <c r="U171" s="234"/>
      <c r="V171" s="218"/>
      <c r="W171" s="218"/>
      <c r="X171" s="218"/>
      <c r="Y171" s="234"/>
      <c r="Z171" s="218"/>
      <c r="AA171" s="218"/>
      <c r="AB171" s="262"/>
      <c r="AC171" s="218"/>
      <c r="AD171" s="218"/>
      <c r="AE171" s="225"/>
      <c r="AF171" s="249"/>
      <c r="AG171" s="249"/>
      <c r="AH171" s="249"/>
      <c r="AI171" s="249"/>
      <c r="AJ171" s="249"/>
      <c r="AK171" s="249"/>
      <c r="AL171" s="150"/>
    </row>
    <row r="172" spans="2:38" x14ac:dyDescent="0.2">
      <c r="B172" s="214" t="s">
        <v>390</v>
      </c>
      <c r="C172" s="214" t="s">
        <v>391</v>
      </c>
      <c r="D172" s="215" t="s">
        <v>394</v>
      </c>
      <c r="E172" s="216" t="s">
        <v>199</v>
      </c>
      <c r="F172" s="216" t="s">
        <v>393</v>
      </c>
      <c r="G172" s="248">
        <v>0.74045602079999995</v>
      </c>
      <c r="H172" s="242">
        <v>8400000</v>
      </c>
      <c r="I172" s="220"/>
      <c r="J172" s="234"/>
      <c r="K172" s="218"/>
      <c r="L172" s="218"/>
      <c r="M172" s="234"/>
      <c r="N172" s="234"/>
      <c r="O172" s="225"/>
      <c r="P172" s="234"/>
      <c r="Q172" s="234"/>
      <c r="R172" s="234"/>
      <c r="S172" s="234"/>
      <c r="T172" s="234"/>
      <c r="U172" s="234"/>
      <c r="V172" s="220"/>
      <c r="W172" s="218"/>
      <c r="X172" s="218"/>
      <c r="Y172" s="234"/>
      <c r="Z172" s="220"/>
      <c r="AA172" s="218"/>
      <c r="AB172" s="234"/>
      <c r="AC172" s="218"/>
      <c r="AD172" s="218"/>
      <c r="AE172" s="225"/>
      <c r="AF172" s="249"/>
      <c r="AG172" s="249"/>
      <c r="AH172" s="249"/>
      <c r="AI172" s="249"/>
      <c r="AJ172" s="249"/>
      <c r="AK172" s="249"/>
      <c r="AL172" s="150"/>
    </row>
    <row r="173" spans="2:38" x14ac:dyDescent="0.2">
      <c r="B173" s="214" t="s">
        <v>390</v>
      </c>
      <c r="C173" s="214" t="s">
        <v>391</v>
      </c>
      <c r="D173" s="215" t="s">
        <v>395</v>
      </c>
      <c r="E173" s="216" t="s">
        <v>199</v>
      </c>
      <c r="F173" s="216" t="s">
        <v>393</v>
      </c>
      <c r="G173" s="248">
        <v>0.74045602079999995</v>
      </c>
      <c r="H173" s="242">
        <v>1272634</v>
      </c>
      <c r="I173" s="220"/>
      <c r="J173" s="234"/>
      <c r="K173" s="218"/>
      <c r="L173" s="218"/>
      <c r="M173" s="234"/>
      <c r="N173" s="234"/>
      <c r="O173" s="225"/>
      <c r="P173" s="234"/>
      <c r="Q173" s="234"/>
      <c r="R173" s="234"/>
      <c r="S173" s="234"/>
      <c r="T173" s="234"/>
      <c r="U173" s="234"/>
      <c r="V173" s="220"/>
      <c r="W173" s="220"/>
      <c r="X173" s="220"/>
      <c r="Y173" s="234"/>
      <c r="Z173" s="220"/>
      <c r="AA173" s="220"/>
      <c r="AB173" s="234"/>
      <c r="AC173" s="220"/>
      <c r="AD173" s="220"/>
      <c r="AE173" s="234"/>
      <c r="AF173" s="250"/>
      <c r="AG173" s="250"/>
      <c r="AH173" s="250"/>
      <c r="AI173" s="250"/>
      <c r="AJ173" s="250"/>
      <c r="AK173" s="250"/>
      <c r="AL173" s="150"/>
    </row>
    <row r="174" spans="2:38" x14ac:dyDescent="0.2">
      <c r="B174" s="214" t="s">
        <v>390</v>
      </c>
      <c r="C174" s="214" t="s">
        <v>391</v>
      </c>
      <c r="D174" s="232" t="s">
        <v>396</v>
      </c>
      <c r="E174" s="216" t="s">
        <v>199</v>
      </c>
      <c r="F174" s="216" t="s">
        <v>393</v>
      </c>
      <c r="G174" s="248">
        <v>0.74045602079999995</v>
      </c>
      <c r="H174" s="242">
        <v>13700000</v>
      </c>
      <c r="I174" s="220"/>
      <c r="J174" s="234"/>
      <c r="K174" s="218"/>
      <c r="L174" s="218"/>
      <c r="M174" s="234"/>
      <c r="N174" s="234"/>
      <c r="O174" s="225"/>
      <c r="P174" s="234"/>
      <c r="Q174" s="234"/>
      <c r="R174" s="234"/>
      <c r="S174" s="234"/>
      <c r="T174" s="234"/>
      <c r="U174" s="234"/>
      <c r="V174" s="218"/>
      <c r="W174" s="218"/>
      <c r="X174" s="218"/>
      <c r="Y174" s="234"/>
      <c r="Z174" s="218"/>
      <c r="AA174" s="218"/>
      <c r="AB174" s="234"/>
      <c r="AC174" s="218"/>
      <c r="AD174" s="218"/>
      <c r="AE174" s="269"/>
      <c r="AF174" s="249"/>
      <c r="AG174" s="249"/>
      <c r="AH174" s="249"/>
      <c r="AI174" s="249"/>
      <c r="AJ174" s="249"/>
      <c r="AK174" s="249"/>
      <c r="AL174" s="150"/>
    </row>
    <row r="175" spans="2:38" x14ac:dyDescent="0.2">
      <c r="B175" s="214" t="s">
        <v>390</v>
      </c>
      <c r="C175" s="214" t="s">
        <v>397</v>
      </c>
      <c r="D175" s="215" t="s">
        <v>538</v>
      </c>
      <c r="E175" s="216" t="s">
        <v>199</v>
      </c>
      <c r="F175" s="216" t="s">
        <v>393</v>
      </c>
      <c r="G175" s="248">
        <v>0.74045602079999995</v>
      </c>
      <c r="H175" s="242">
        <f>633000+2246000+4800</f>
        <v>2883800</v>
      </c>
      <c r="I175" s="220"/>
      <c r="J175" s="234"/>
      <c r="K175" s="218"/>
      <c r="L175" s="218"/>
      <c r="M175" s="234"/>
      <c r="N175" s="234"/>
      <c r="O175" s="225"/>
      <c r="P175" s="234"/>
      <c r="Q175" s="234"/>
      <c r="R175" s="234"/>
      <c r="S175" s="234"/>
      <c r="T175" s="234"/>
      <c r="U175" s="234"/>
      <c r="V175" s="220"/>
      <c r="W175" s="218"/>
      <c r="X175" s="218"/>
      <c r="Y175" s="234"/>
      <c r="Z175" s="220"/>
      <c r="AA175" s="220"/>
      <c r="AB175" s="225"/>
      <c r="AC175" s="218"/>
      <c r="AD175" s="218"/>
      <c r="AE175" s="225"/>
      <c r="AF175" s="249"/>
      <c r="AG175" s="249"/>
      <c r="AH175" s="250"/>
      <c r="AI175" s="249"/>
      <c r="AJ175" s="250"/>
      <c r="AK175" s="249"/>
      <c r="AL175" s="150"/>
    </row>
    <row r="176" spans="2:38" x14ac:dyDescent="0.2">
      <c r="B176" s="214" t="s">
        <v>390</v>
      </c>
      <c r="C176" s="214" t="s">
        <v>391</v>
      </c>
      <c r="D176" s="215" t="s">
        <v>398</v>
      </c>
      <c r="E176" s="216" t="s">
        <v>199</v>
      </c>
      <c r="F176" s="216" t="s">
        <v>393</v>
      </c>
      <c r="G176" s="248">
        <v>0.74045602079999995</v>
      </c>
      <c r="H176" s="242">
        <v>8496473</v>
      </c>
      <c r="I176" s="220"/>
      <c r="J176" s="234"/>
      <c r="K176" s="218"/>
      <c r="L176" s="220"/>
      <c r="M176" s="234"/>
      <c r="N176" s="234"/>
      <c r="O176" s="234"/>
      <c r="P176" s="234"/>
      <c r="Q176" s="234"/>
      <c r="R176" s="234"/>
      <c r="S176" s="234"/>
      <c r="T176" s="234"/>
      <c r="U176" s="234"/>
      <c r="V176" s="220"/>
      <c r="W176" s="218"/>
      <c r="X176" s="218"/>
      <c r="Y176" s="234"/>
      <c r="Z176" s="220"/>
      <c r="AA176" s="220"/>
      <c r="AB176" s="225"/>
      <c r="AC176" s="218"/>
      <c r="AD176" s="218"/>
      <c r="AE176" s="225"/>
      <c r="AF176" s="250"/>
      <c r="AG176" s="250"/>
      <c r="AH176" s="250"/>
      <c r="AI176" s="250"/>
      <c r="AJ176" s="250"/>
      <c r="AK176" s="250"/>
      <c r="AL176" s="150"/>
    </row>
    <row r="177" spans="2:38" x14ac:dyDescent="0.2">
      <c r="B177" s="214" t="s">
        <v>390</v>
      </c>
      <c r="C177" s="214" t="s">
        <v>391</v>
      </c>
      <c r="D177" s="215" t="s">
        <v>399</v>
      </c>
      <c r="E177" s="216" t="s">
        <v>199</v>
      </c>
      <c r="F177" s="216" t="s">
        <v>393</v>
      </c>
      <c r="G177" s="248">
        <v>0.74045602079999995</v>
      </c>
      <c r="H177" s="242">
        <v>44400000</v>
      </c>
      <c r="I177" s="220"/>
      <c r="J177" s="225"/>
      <c r="K177" s="218"/>
      <c r="L177" s="218"/>
      <c r="M177" s="234"/>
      <c r="N177" s="234"/>
      <c r="O177" s="225"/>
      <c r="P177" s="234"/>
      <c r="Q177" s="234"/>
      <c r="R177" s="234"/>
      <c r="S177" s="234"/>
      <c r="T177" s="234"/>
      <c r="U177" s="234"/>
      <c r="V177" s="218"/>
      <c r="W177" s="218"/>
      <c r="X177" s="218"/>
      <c r="Y177" s="234"/>
      <c r="Z177" s="220"/>
      <c r="AA177" s="218"/>
      <c r="AB177" s="225"/>
      <c r="AC177" s="218"/>
      <c r="AD177" s="218"/>
      <c r="AE177" s="225"/>
      <c r="AF177" s="249"/>
      <c r="AG177" s="249"/>
      <c r="AH177" s="249"/>
      <c r="AI177" s="249"/>
      <c r="AJ177" s="249"/>
      <c r="AK177" s="249"/>
      <c r="AL177" s="150"/>
    </row>
    <row r="178" spans="2:38" x14ac:dyDescent="0.2">
      <c r="B178" s="214" t="s">
        <v>390</v>
      </c>
      <c r="C178" s="214" t="s">
        <v>391</v>
      </c>
      <c r="D178" s="215" t="s">
        <v>400</v>
      </c>
      <c r="E178" s="216" t="s">
        <v>199</v>
      </c>
      <c r="F178" s="216" t="s">
        <v>393</v>
      </c>
      <c r="G178" s="248">
        <v>0.74045602079999995</v>
      </c>
      <c r="H178" s="242">
        <v>38100000</v>
      </c>
      <c r="I178" s="220"/>
      <c r="J178" s="225"/>
      <c r="K178" s="218"/>
      <c r="L178" s="218"/>
      <c r="M178" s="234"/>
      <c r="N178" s="234"/>
      <c r="O178" s="225"/>
      <c r="P178" s="234"/>
      <c r="Q178" s="234"/>
      <c r="R178" s="234"/>
      <c r="S178" s="234"/>
      <c r="T178" s="225"/>
      <c r="U178" s="234"/>
      <c r="V178" s="218"/>
      <c r="W178" s="218"/>
      <c r="X178" s="218"/>
      <c r="Y178" s="234"/>
      <c r="Z178" s="218"/>
      <c r="AA178" s="218"/>
      <c r="AB178" s="234"/>
      <c r="AC178" s="218"/>
      <c r="AD178" s="218"/>
      <c r="AE178" s="225"/>
      <c r="AF178" s="249"/>
      <c r="AG178" s="249"/>
      <c r="AH178" s="249"/>
      <c r="AI178" s="249"/>
      <c r="AJ178" s="249"/>
      <c r="AK178" s="249"/>
      <c r="AL178" s="150"/>
    </row>
    <row r="179" spans="2:38" x14ac:dyDescent="0.2">
      <c r="B179" s="214" t="s">
        <v>390</v>
      </c>
      <c r="C179" s="214" t="s">
        <v>401</v>
      </c>
      <c r="D179" s="232" t="s">
        <v>402</v>
      </c>
      <c r="E179" s="216" t="s">
        <v>199</v>
      </c>
      <c r="F179" s="216" t="s">
        <v>403</v>
      </c>
      <c r="G179" s="248">
        <v>0.67665699999999995</v>
      </c>
      <c r="H179" s="242">
        <v>6870000</v>
      </c>
      <c r="I179" s="220"/>
      <c r="J179" s="234"/>
      <c r="K179" s="218"/>
      <c r="L179" s="218"/>
      <c r="M179" s="234"/>
      <c r="N179" s="234"/>
      <c r="O179" s="225"/>
      <c r="P179" s="234"/>
      <c r="Q179" s="234"/>
      <c r="R179" s="234"/>
      <c r="S179" s="234"/>
      <c r="T179" s="234"/>
      <c r="U179" s="234"/>
      <c r="V179" s="220"/>
      <c r="W179" s="218"/>
      <c r="X179" s="218"/>
      <c r="Y179" s="234"/>
      <c r="Z179" s="220"/>
      <c r="AA179" s="218"/>
      <c r="AB179" s="262"/>
      <c r="AC179" s="218"/>
      <c r="AD179" s="218"/>
      <c r="AE179" s="225"/>
      <c r="AF179" s="249"/>
      <c r="AG179" s="249"/>
      <c r="AH179" s="249"/>
      <c r="AI179" s="249"/>
      <c r="AJ179" s="249"/>
      <c r="AK179" s="249"/>
    </row>
    <row r="180" spans="2:38" x14ac:dyDescent="0.2">
      <c r="B180" s="214" t="s">
        <v>390</v>
      </c>
      <c r="C180" s="214" t="s">
        <v>401</v>
      </c>
      <c r="D180" s="215" t="s">
        <v>404</v>
      </c>
      <c r="E180" s="216" t="s">
        <v>135</v>
      </c>
      <c r="F180" s="216" t="s">
        <v>403</v>
      </c>
      <c r="G180" s="248">
        <v>0.72430583240000002</v>
      </c>
      <c r="H180" s="242">
        <v>6144686</v>
      </c>
      <c r="I180" s="220"/>
      <c r="J180" s="225"/>
      <c r="K180" s="218"/>
      <c r="L180" s="218"/>
      <c r="M180" s="234"/>
      <c r="N180" s="234"/>
      <c r="O180" s="225"/>
      <c r="P180" s="234"/>
      <c r="Q180" s="234"/>
      <c r="R180" s="234"/>
      <c r="S180" s="234"/>
      <c r="T180" s="234"/>
      <c r="U180" s="234"/>
      <c r="V180" s="220"/>
      <c r="W180" s="218"/>
      <c r="X180" s="218"/>
      <c r="Y180" s="234"/>
      <c r="Z180" s="220"/>
      <c r="AA180" s="218"/>
      <c r="AB180" s="234"/>
      <c r="AC180" s="218"/>
      <c r="AD180" s="218"/>
      <c r="AE180" s="225"/>
      <c r="AF180" s="249"/>
      <c r="AG180" s="249"/>
      <c r="AH180" s="249"/>
      <c r="AI180" s="249"/>
      <c r="AJ180" s="249"/>
      <c r="AK180" s="249"/>
    </row>
    <row r="181" spans="2:38" x14ac:dyDescent="0.2">
      <c r="B181" s="214" t="s">
        <v>390</v>
      </c>
      <c r="C181" s="214" t="s">
        <v>401</v>
      </c>
      <c r="D181" s="215" t="s">
        <v>405</v>
      </c>
      <c r="E181" s="216" t="s">
        <v>199</v>
      </c>
      <c r="F181" s="216" t="s">
        <v>403</v>
      </c>
      <c r="G181" s="248">
        <v>0.67665657820000003</v>
      </c>
      <c r="H181" s="242">
        <v>353000</v>
      </c>
      <c r="I181" s="220"/>
      <c r="J181" s="234"/>
      <c r="K181" s="218"/>
      <c r="L181" s="218"/>
      <c r="M181" s="234"/>
      <c r="N181" s="234"/>
      <c r="O181" s="225"/>
      <c r="P181" s="234"/>
      <c r="Q181" s="234"/>
      <c r="R181" s="234"/>
      <c r="S181" s="234"/>
      <c r="T181" s="234"/>
      <c r="U181" s="234"/>
      <c r="V181" s="220"/>
      <c r="W181" s="218"/>
      <c r="X181" s="218"/>
      <c r="Y181" s="234"/>
      <c r="Z181" s="220"/>
      <c r="AA181" s="218"/>
      <c r="AB181" s="234"/>
      <c r="AC181" s="218"/>
      <c r="AD181" s="218"/>
      <c r="AE181" s="225"/>
      <c r="AF181" s="249"/>
      <c r="AG181" s="249"/>
      <c r="AH181" s="249"/>
      <c r="AI181" s="249"/>
      <c r="AJ181" s="249"/>
      <c r="AK181" s="249"/>
      <c r="AL181" s="171"/>
    </row>
    <row r="182" spans="2:38" x14ac:dyDescent="0.2">
      <c r="B182" s="214" t="s">
        <v>390</v>
      </c>
      <c r="C182" s="214" t="s">
        <v>401</v>
      </c>
      <c r="D182" s="215" t="s">
        <v>407</v>
      </c>
      <c r="E182" s="216" t="s">
        <v>199</v>
      </c>
      <c r="F182" s="216" t="s">
        <v>403</v>
      </c>
      <c r="G182" s="248">
        <v>0.67665657820000003</v>
      </c>
      <c r="H182" s="242">
        <f>10202526+1063856+9263666</f>
        <v>20530048</v>
      </c>
      <c r="I182" s="220"/>
      <c r="J182" s="234"/>
      <c r="K182" s="218"/>
      <c r="L182" s="218"/>
      <c r="M182" s="225"/>
      <c r="N182" s="225"/>
      <c r="O182" s="225"/>
      <c r="P182" s="234"/>
      <c r="Q182" s="234"/>
      <c r="R182" s="234"/>
      <c r="S182" s="234"/>
      <c r="T182" s="225"/>
      <c r="U182" s="234"/>
      <c r="V182" s="218"/>
      <c r="W182" s="218"/>
      <c r="X182" s="218"/>
      <c r="Y182" s="234"/>
      <c r="Z182" s="220"/>
      <c r="AA182" s="218"/>
      <c r="AB182" s="225"/>
      <c r="AC182" s="218"/>
      <c r="AD182" s="218"/>
      <c r="AE182" s="225"/>
      <c r="AF182" s="249"/>
      <c r="AG182" s="249"/>
      <c r="AH182" s="249"/>
      <c r="AI182" s="249"/>
      <c r="AJ182" s="249"/>
      <c r="AK182" s="249"/>
    </row>
    <row r="183" spans="2:38" x14ac:dyDescent="0.2">
      <c r="B183" s="214" t="s">
        <v>390</v>
      </c>
      <c r="C183" s="214" t="s">
        <v>401</v>
      </c>
      <c r="D183" s="232" t="s">
        <v>408</v>
      </c>
      <c r="E183" s="216" t="s">
        <v>199</v>
      </c>
      <c r="F183" s="216" t="s">
        <v>403</v>
      </c>
      <c r="G183" s="248">
        <v>0.73211619679999995</v>
      </c>
      <c r="H183" s="242">
        <v>1030512</v>
      </c>
      <c r="I183" s="220"/>
      <c r="J183" s="234"/>
      <c r="K183" s="218"/>
      <c r="L183" s="218"/>
      <c r="M183" s="234"/>
      <c r="N183" s="234"/>
      <c r="O183" s="225"/>
      <c r="P183" s="234"/>
      <c r="Q183" s="234"/>
      <c r="R183" s="234"/>
      <c r="S183" s="234"/>
      <c r="T183" s="234"/>
      <c r="U183" s="234"/>
      <c r="V183" s="220"/>
      <c r="W183" s="218"/>
      <c r="X183" s="218"/>
      <c r="Y183" s="234"/>
      <c r="Z183" s="220"/>
      <c r="AA183" s="218"/>
      <c r="AB183" s="234"/>
      <c r="AC183" s="218"/>
      <c r="AD183" s="218"/>
      <c r="AE183" s="225"/>
      <c r="AF183" s="249"/>
      <c r="AG183" s="249"/>
      <c r="AH183" s="249"/>
      <c r="AI183" s="249"/>
      <c r="AJ183" s="249"/>
      <c r="AK183" s="249"/>
    </row>
    <row r="184" spans="2:38" x14ac:dyDescent="0.2">
      <c r="B184" s="214" t="s">
        <v>409</v>
      </c>
      <c r="C184" s="214" t="s">
        <v>410</v>
      </c>
      <c r="D184" s="232" t="s">
        <v>411</v>
      </c>
      <c r="E184" s="216" t="s">
        <v>66</v>
      </c>
      <c r="F184" s="216" t="s">
        <v>412</v>
      </c>
      <c r="G184" s="248">
        <v>0.49019608749999999</v>
      </c>
      <c r="H184" s="242">
        <v>2697504</v>
      </c>
      <c r="I184" s="220"/>
      <c r="J184" s="225"/>
      <c r="K184" s="218"/>
      <c r="L184" s="218"/>
      <c r="M184" s="234"/>
      <c r="N184" s="225"/>
      <c r="O184" s="225"/>
      <c r="P184" s="234"/>
      <c r="Q184" s="234"/>
      <c r="R184" s="234"/>
      <c r="S184" s="234"/>
      <c r="T184" s="234"/>
      <c r="U184" s="234"/>
      <c r="V184" s="218"/>
      <c r="W184" s="218"/>
      <c r="X184" s="218"/>
      <c r="Y184" s="234"/>
      <c r="Z184" s="218"/>
      <c r="AA184" s="218"/>
      <c r="AB184" s="234"/>
      <c r="AC184" s="218"/>
      <c r="AD184" s="218"/>
      <c r="AE184" s="225"/>
      <c r="AF184" s="249"/>
      <c r="AG184" s="249"/>
      <c r="AH184" s="249"/>
      <c r="AI184" s="249"/>
      <c r="AJ184" s="249"/>
      <c r="AK184" s="249"/>
    </row>
    <row r="185" spans="2:38" x14ac:dyDescent="0.2">
      <c r="B185" s="214" t="s">
        <v>409</v>
      </c>
      <c r="C185" s="214" t="s">
        <v>413</v>
      </c>
      <c r="D185" s="232" t="s">
        <v>414</v>
      </c>
      <c r="E185" s="216" t="s">
        <v>71</v>
      </c>
      <c r="F185" s="216" t="s">
        <v>415</v>
      </c>
      <c r="G185" s="270">
        <v>0.44995136270000002</v>
      </c>
      <c r="H185" s="242">
        <f>95930+95043</f>
        <v>190973</v>
      </c>
      <c r="I185" s="220"/>
      <c r="J185" s="234"/>
      <c r="K185" s="218"/>
      <c r="L185" s="218"/>
      <c r="M185" s="234"/>
      <c r="N185" s="234"/>
      <c r="O185" s="225"/>
      <c r="P185" s="234"/>
      <c r="Q185" s="234"/>
      <c r="R185" s="234"/>
      <c r="S185" s="234"/>
      <c r="T185" s="234"/>
      <c r="U185" s="234"/>
      <c r="V185" s="220"/>
      <c r="W185" s="218"/>
      <c r="X185" s="218"/>
      <c r="Y185" s="234"/>
      <c r="Z185" s="218"/>
      <c r="AA185" s="218"/>
      <c r="AB185" s="234"/>
      <c r="AC185" s="218"/>
      <c r="AD185" s="218"/>
      <c r="AE185" s="225"/>
      <c r="AF185" s="249"/>
      <c r="AG185" s="249"/>
      <c r="AH185" s="249"/>
      <c r="AI185" s="249"/>
      <c r="AJ185" s="249"/>
      <c r="AK185" s="249"/>
    </row>
    <row r="186" spans="2:38" x14ac:dyDescent="0.2">
      <c r="B186" s="214" t="s">
        <v>409</v>
      </c>
      <c r="C186" s="214" t="s">
        <v>416</v>
      </c>
      <c r="D186" s="232" t="s">
        <v>417</v>
      </c>
      <c r="E186" s="216" t="s">
        <v>552</v>
      </c>
      <c r="F186" s="216" t="s">
        <v>251</v>
      </c>
      <c r="G186" s="270">
        <v>1</v>
      </c>
      <c r="H186" s="242">
        <v>3406504</v>
      </c>
      <c r="I186" s="220"/>
      <c r="J186" s="234"/>
      <c r="K186" s="218"/>
      <c r="L186" s="218"/>
      <c r="M186" s="234"/>
      <c r="N186" s="225"/>
      <c r="O186" s="225"/>
      <c r="P186" s="234"/>
      <c r="Q186" s="234"/>
      <c r="R186" s="225"/>
      <c r="S186" s="225"/>
      <c r="T186" s="225"/>
      <c r="U186" s="234"/>
      <c r="V186" s="218"/>
      <c r="W186" s="218"/>
      <c r="X186" s="218"/>
      <c r="Y186" s="234"/>
      <c r="Z186" s="220"/>
      <c r="AA186" s="218"/>
      <c r="AB186" s="225"/>
      <c r="AC186" s="218"/>
      <c r="AD186" s="218"/>
      <c r="AE186" s="234"/>
      <c r="AF186" s="249"/>
      <c r="AG186" s="249"/>
      <c r="AH186" s="249"/>
      <c r="AI186" s="249"/>
      <c r="AJ186" s="249"/>
      <c r="AK186" s="249"/>
    </row>
    <row r="187" spans="2:38" x14ac:dyDescent="0.2">
      <c r="B187" s="214" t="s">
        <v>409</v>
      </c>
      <c r="C187" s="214" t="s">
        <v>419</v>
      </c>
      <c r="D187" s="232" t="s">
        <v>420</v>
      </c>
      <c r="E187" s="216" t="s">
        <v>162</v>
      </c>
      <c r="F187" s="216" t="s">
        <v>251</v>
      </c>
      <c r="G187" s="270">
        <v>1</v>
      </c>
      <c r="H187" s="242">
        <f>605952*2</f>
        <v>1211904</v>
      </c>
      <c r="I187" s="220"/>
      <c r="J187" s="234"/>
      <c r="K187" s="218"/>
      <c r="L187" s="218"/>
      <c r="M187" s="234"/>
      <c r="N187" s="234"/>
      <c r="O187" s="225"/>
      <c r="P187" s="234"/>
      <c r="Q187" s="234"/>
      <c r="R187" s="234"/>
      <c r="S187" s="234"/>
      <c r="T187" s="234"/>
      <c r="U187" s="234"/>
      <c r="V187" s="220"/>
      <c r="W187" s="220"/>
      <c r="X187" s="220"/>
      <c r="Y187" s="234"/>
      <c r="Z187" s="220"/>
      <c r="AA187" s="218"/>
      <c r="AB187" s="234"/>
      <c r="AC187" s="220"/>
      <c r="AD187" s="220"/>
      <c r="AE187" s="234"/>
      <c r="AF187" s="250"/>
      <c r="AG187" s="250"/>
      <c r="AH187" s="250"/>
      <c r="AI187" s="250"/>
      <c r="AJ187" s="250"/>
      <c r="AK187" s="250"/>
    </row>
    <row r="188" spans="2:38" x14ac:dyDescent="0.2">
      <c r="B188" s="214" t="s">
        <v>409</v>
      </c>
      <c r="C188" s="214" t="s">
        <v>421</v>
      </c>
      <c r="D188" s="232" t="s">
        <v>422</v>
      </c>
      <c r="E188" s="216" t="s">
        <v>96</v>
      </c>
      <c r="F188" s="216" t="s">
        <v>924</v>
      </c>
      <c r="G188" s="270">
        <v>0.39500000000000002</v>
      </c>
      <c r="H188" s="242">
        <f>162944+164620</f>
        <v>327564</v>
      </c>
      <c r="I188" s="220"/>
      <c r="J188" s="225"/>
      <c r="K188" s="218"/>
      <c r="L188" s="218"/>
      <c r="M188" s="225"/>
      <c r="N188" s="225"/>
      <c r="O188" s="225"/>
      <c r="P188" s="234"/>
      <c r="Q188" s="234"/>
      <c r="R188" s="234"/>
      <c r="S188" s="234"/>
      <c r="T188" s="234"/>
      <c r="U188" s="225"/>
      <c r="V188" s="218"/>
      <c r="W188" s="218"/>
      <c r="X188" s="218"/>
      <c r="Y188" s="234"/>
      <c r="Z188" s="218"/>
      <c r="AA188" s="218"/>
      <c r="AB188" s="225"/>
      <c r="AC188" s="218"/>
      <c r="AD188" s="218"/>
      <c r="AE188" s="225"/>
      <c r="AF188" s="249"/>
      <c r="AG188" s="249"/>
      <c r="AH188" s="249"/>
      <c r="AI188" s="249"/>
      <c r="AJ188" s="249"/>
      <c r="AK188" s="249"/>
    </row>
    <row r="189" spans="2:38" x14ac:dyDescent="0.2">
      <c r="B189" s="214" t="s">
        <v>409</v>
      </c>
      <c r="C189" s="214" t="s">
        <v>423</v>
      </c>
      <c r="D189" s="232" t="s">
        <v>424</v>
      </c>
      <c r="E189" s="216" t="s">
        <v>83</v>
      </c>
      <c r="F189" s="216" t="s">
        <v>425</v>
      </c>
      <c r="G189" s="248">
        <v>1.00548393E-2</v>
      </c>
      <c r="H189" s="242">
        <v>1903469</v>
      </c>
      <c r="I189" s="220"/>
      <c r="J189" s="225"/>
      <c r="K189" s="218"/>
      <c r="L189" s="218"/>
      <c r="M189" s="225"/>
      <c r="N189" s="225"/>
      <c r="O189" s="225"/>
      <c r="P189" s="234"/>
      <c r="Q189" s="234"/>
      <c r="R189" s="234"/>
      <c r="S189" s="234"/>
      <c r="T189" s="225"/>
      <c r="U189" s="234"/>
      <c r="V189" s="218"/>
      <c r="W189" s="218"/>
      <c r="X189" s="220"/>
      <c r="Y189" s="234"/>
      <c r="Z189" s="220"/>
      <c r="AA189" s="218"/>
      <c r="AB189" s="234"/>
      <c r="AC189" s="220"/>
      <c r="AD189" s="218"/>
      <c r="AE189" s="225"/>
      <c r="AF189" s="250"/>
      <c r="AG189" s="250"/>
      <c r="AH189" s="250"/>
      <c r="AI189" s="250"/>
      <c r="AJ189" s="250"/>
      <c r="AK189" s="250"/>
      <c r="AL189" s="171"/>
    </row>
    <row r="190" spans="2:38" x14ac:dyDescent="0.2">
      <c r="B190" s="214" t="s">
        <v>409</v>
      </c>
      <c r="C190" s="214" t="s">
        <v>426</v>
      </c>
      <c r="D190" s="232" t="s">
        <v>427</v>
      </c>
      <c r="E190" s="216" t="s">
        <v>418</v>
      </c>
      <c r="F190" s="216" t="s">
        <v>251</v>
      </c>
      <c r="G190" s="270">
        <v>1</v>
      </c>
      <c r="H190" s="242">
        <f>736970*2</f>
        <v>1473940</v>
      </c>
      <c r="I190" s="220"/>
      <c r="J190" s="225"/>
      <c r="K190" s="218"/>
      <c r="L190" s="218"/>
      <c r="M190" s="234"/>
      <c r="N190" s="225"/>
      <c r="O190" s="225"/>
      <c r="P190" s="234"/>
      <c r="Q190" s="234"/>
      <c r="R190" s="225"/>
      <c r="S190" s="225"/>
      <c r="T190" s="225"/>
      <c r="U190" s="234"/>
      <c r="V190" s="218"/>
      <c r="W190" s="218"/>
      <c r="X190" s="220"/>
      <c r="Y190" s="234"/>
      <c r="Z190" s="218"/>
      <c r="AA190" s="218"/>
      <c r="AB190" s="225"/>
      <c r="AC190" s="220"/>
      <c r="AD190" s="218"/>
      <c r="AE190" s="234"/>
      <c r="AF190" s="250"/>
      <c r="AG190" s="250"/>
      <c r="AH190" s="250"/>
      <c r="AI190" s="250"/>
      <c r="AJ190" s="250"/>
      <c r="AK190" s="250"/>
    </row>
    <row r="191" spans="2:38" ht="17.25" customHeight="1" x14ac:dyDescent="0.2">
      <c r="B191" s="214" t="s">
        <v>409</v>
      </c>
      <c r="C191" s="214" t="s">
        <v>428</v>
      </c>
      <c r="D191" s="244" t="s">
        <v>429</v>
      </c>
      <c r="E191" s="216" t="s">
        <v>418</v>
      </c>
      <c r="F191" s="216" t="s">
        <v>251</v>
      </c>
      <c r="G191" s="270">
        <v>1</v>
      </c>
      <c r="H191" s="242">
        <f>70393*2</f>
        <v>140786</v>
      </c>
      <c r="I191" s="220"/>
      <c r="J191" s="225"/>
      <c r="K191" s="218"/>
      <c r="L191" s="218"/>
      <c r="M191" s="234"/>
      <c r="N191" s="225"/>
      <c r="O191" s="225"/>
      <c r="P191" s="234"/>
      <c r="Q191" s="234"/>
      <c r="R191" s="225"/>
      <c r="S191" s="225"/>
      <c r="T191" s="225"/>
      <c r="U191" s="234"/>
      <c r="V191" s="218"/>
      <c r="W191" s="218"/>
      <c r="X191" s="220"/>
      <c r="Y191" s="234"/>
      <c r="Z191" s="220"/>
      <c r="AA191" s="220"/>
      <c r="AB191" s="225"/>
      <c r="AC191" s="220"/>
      <c r="AD191" s="218"/>
      <c r="AE191" s="234"/>
      <c r="AF191" s="250"/>
      <c r="AG191" s="250"/>
      <c r="AH191" s="250"/>
      <c r="AI191" s="250"/>
      <c r="AJ191" s="250"/>
      <c r="AK191" s="250"/>
    </row>
    <row r="192" spans="2:38" ht="17.25" customHeight="1" x14ac:dyDescent="0.2">
      <c r="B192" s="214" t="s">
        <v>409</v>
      </c>
      <c r="C192" s="214" t="s">
        <v>430</v>
      </c>
      <c r="D192" s="232" t="s">
        <v>568</v>
      </c>
      <c r="E192" s="216" t="s">
        <v>199</v>
      </c>
      <c r="F192" s="216" t="s">
        <v>251</v>
      </c>
      <c r="G192" s="270">
        <v>1</v>
      </c>
      <c r="H192" s="242">
        <v>37557406</v>
      </c>
      <c r="I192" s="218"/>
      <c r="J192" s="225"/>
      <c r="K192" s="218"/>
      <c r="L192" s="218"/>
      <c r="M192" s="234"/>
      <c r="N192" s="234"/>
      <c r="O192" s="225"/>
      <c r="P192" s="225"/>
      <c r="Q192" s="234"/>
      <c r="R192" s="225"/>
      <c r="S192" s="225"/>
      <c r="T192" s="225"/>
      <c r="U192" s="234"/>
      <c r="V192" s="218"/>
      <c r="W192" s="218"/>
      <c r="X192" s="218"/>
      <c r="Y192" s="234"/>
      <c r="Z192" s="218"/>
      <c r="AA192" s="218"/>
      <c r="AB192" s="234"/>
      <c r="AC192" s="218"/>
      <c r="AD192" s="218"/>
      <c r="AE192" s="234"/>
      <c r="AF192" s="249"/>
      <c r="AG192" s="249"/>
      <c r="AH192" s="249"/>
      <c r="AI192" s="249"/>
      <c r="AJ192" s="249"/>
      <c r="AK192" s="249"/>
    </row>
    <row r="193" spans="2:38" ht="14.25" customHeight="1" x14ac:dyDescent="0.2">
      <c r="B193" s="214" t="s">
        <v>409</v>
      </c>
      <c r="C193" s="214" t="s">
        <v>430</v>
      </c>
      <c r="D193" s="232" t="s">
        <v>431</v>
      </c>
      <c r="E193" s="216" t="s">
        <v>199</v>
      </c>
      <c r="F193" s="216" t="s">
        <v>251</v>
      </c>
      <c r="G193" s="270">
        <v>1</v>
      </c>
      <c r="H193" s="265">
        <f>10655473*2</f>
        <v>21310946</v>
      </c>
      <c r="I193" s="266"/>
      <c r="J193" s="234"/>
      <c r="K193" s="218"/>
      <c r="L193" s="218"/>
      <c r="M193" s="234"/>
      <c r="N193" s="225"/>
      <c r="O193" s="225"/>
      <c r="P193" s="254"/>
      <c r="Q193" s="234"/>
      <c r="R193" s="225"/>
      <c r="S193" s="225"/>
      <c r="T193" s="234"/>
      <c r="U193" s="234"/>
      <c r="V193" s="218"/>
      <c r="W193" s="218"/>
      <c r="X193" s="218"/>
      <c r="Y193" s="234"/>
      <c r="Z193" s="218"/>
      <c r="AA193" s="218"/>
      <c r="AB193" s="262"/>
      <c r="AC193" s="218"/>
      <c r="AD193" s="218"/>
      <c r="AE193" s="234"/>
      <c r="AF193" s="250"/>
      <c r="AG193" s="250"/>
      <c r="AH193" s="250"/>
      <c r="AI193" s="250"/>
      <c r="AJ193" s="250"/>
      <c r="AK193" s="250"/>
    </row>
    <row r="194" spans="2:38" ht="14.25" customHeight="1" x14ac:dyDescent="0.2">
      <c r="B194" s="214" t="s">
        <v>409</v>
      </c>
      <c r="C194" s="214" t="s">
        <v>430</v>
      </c>
      <c r="D194" s="232" t="s">
        <v>432</v>
      </c>
      <c r="E194" s="216" t="s">
        <v>199</v>
      </c>
      <c r="F194" s="216" t="s">
        <v>251</v>
      </c>
      <c r="G194" s="270">
        <v>1</v>
      </c>
      <c r="H194" s="265">
        <f>3653790*2</f>
        <v>7307580</v>
      </c>
      <c r="I194" s="266"/>
      <c r="J194" s="234"/>
      <c r="K194" s="218"/>
      <c r="L194" s="218"/>
      <c r="M194" s="234"/>
      <c r="N194" s="234"/>
      <c r="O194" s="225"/>
      <c r="P194" s="254"/>
      <c r="Q194" s="234"/>
      <c r="R194" s="225"/>
      <c r="S194" s="225"/>
      <c r="T194" s="234"/>
      <c r="U194" s="234"/>
      <c r="V194" s="218"/>
      <c r="W194" s="218"/>
      <c r="X194" s="218"/>
      <c r="Y194" s="234"/>
      <c r="Z194" s="218"/>
      <c r="AA194" s="218"/>
      <c r="AB194" s="254"/>
      <c r="AC194" s="218"/>
      <c r="AD194" s="218"/>
      <c r="AE194" s="234"/>
      <c r="AF194" s="250"/>
      <c r="AG194" s="250"/>
      <c r="AH194" s="250"/>
      <c r="AI194" s="250"/>
      <c r="AJ194" s="250"/>
      <c r="AK194" s="250"/>
    </row>
    <row r="195" spans="2:38" x14ac:dyDescent="0.2">
      <c r="B195" s="214" t="s">
        <v>433</v>
      </c>
      <c r="C195" s="214" t="s">
        <v>434</v>
      </c>
      <c r="D195" s="232" t="s">
        <v>435</v>
      </c>
      <c r="E195" s="216" t="s">
        <v>83</v>
      </c>
      <c r="F195" s="216" t="s">
        <v>251</v>
      </c>
      <c r="G195" s="270">
        <v>1</v>
      </c>
      <c r="H195" s="242">
        <v>3300000</v>
      </c>
      <c r="I195" s="220"/>
      <c r="J195" s="225"/>
      <c r="K195" s="218"/>
      <c r="L195" s="218"/>
      <c r="M195" s="225"/>
      <c r="N195" s="225"/>
      <c r="O195" s="225"/>
      <c r="P195" s="234"/>
      <c r="Q195" s="234"/>
      <c r="R195" s="234"/>
      <c r="S195" s="234"/>
      <c r="T195" s="234"/>
      <c r="U195" s="234"/>
      <c r="V195" s="218"/>
      <c r="W195" s="218"/>
      <c r="X195" s="218"/>
      <c r="Y195" s="234"/>
      <c r="Z195" s="218"/>
      <c r="AA195" s="218"/>
      <c r="AB195" s="234"/>
      <c r="AC195" s="218"/>
      <c r="AD195" s="218"/>
      <c r="AE195" s="225"/>
      <c r="AF195" s="249"/>
      <c r="AG195" s="249"/>
      <c r="AH195" s="249"/>
      <c r="AI195" s="249"/>
      <c r="AJ195" s="249"/>
      <c r="AK195" s="249"/>
    </row>
    <row r="196" spans="2:38" x14ac:dyDescent="0.2">
      <c r="B196" s="214" t="s">
        <v>433</v>
      </c>
      <c r="C196" s="214" t="s">
        <v>436</v>
      </c>
      <c r="D196" s="232" t="s">
        <v>437</v>
      </c>
      <c r="E196" s="216" t="s">
        <v>527</v>
      </c>
      <c r="F196" s="216" t="s">
        <v>110</v>
      </c>
      <c r="G196" s="248">
        <v>1.145548</v>
      </c>
      <c r="H196" s="265">
        <v>5000000</v>
      </c>
      <c r="I196" s="266"/>
      <c r="J196" s="234"/>
      <c r="K196" s="218"/>
      <c r="L196" s="220"/>
      <c r="M196" s="234"/>
      <c r="N196" s="234"/>
      <c r="O196" s="234"/>
      <c r="P196" s="234"/>
      <c r="Q196" s="234"/>
      <c r="R196" s="234"/>
      <c r="S196" s="234"/>
      <c r="T196" s="234"/>
      <c r="U196" s="234"/>
      <c r="V196" s="220"/>
      <c r="W196" s="220"/>
      <c r="X196" s="220"/>
      <c r="Y196" s="234"/>
      <c r="Z196" s="220"/>
      <c r="AA196" s="220"/>
      <c r="AB196" s="234"/>
      <c r="AC196" s="220"/>
      <c r="AD196" s="220"/>
      <c r="AE196" s="234"/>
      <c r="AF196" s="250"/>
      <c r="AG196" s="250"/>
      <c r="AH196" s="250"/>
      <c r="AI196" s="250"/>
      <c r="AJ196" s="250"/>
      <c r="AK196" s="250"/>
    </row>
    <row r="197" spans="2:38" x14ac:dyDescent="0.2">
      <c r="B197" s="214" t="s">
        <v>433</v>
      </c>
      <c r="C197" s="214" t="s">
        <v>438</v>
      </c>
      <c r="D197" s="232" t="s">
        <v>439</v>
      </c>
      <c r="E197" s="216" t="s">
        <v>91</v>
      </c>
      <c r="F197" s="216" t="s">
        <v>251</v>
      </c>
      <c r="G197" s="270">
        <v>1</v>
      </c>
      <c r="H197" s="242">
        <v>1586362</v>
      </c>
      <c r="I197" s="220"/>
      <c r="J197" s="225"/>
      <c r="K197" s="218"/>
      <c r="L197" s="218"/>
      <c r="M197" s="225"/>
      <c r="N197" s="225"/>
      <c r="O197" s="225"/>
      <c r="P197" s="234"/>
      <c r="Q197" s="234"/>
      <c r="R197" s="234"/>
      <c r="S197" s="234"/>
      <c r="T197" s="234"/>
      <c r="U197" s="225"/>
      <c r="V197" s="218"/>
      <c r="W197" s="218"/>
      <c r="X197" s="218"/>
      <c r="Y197" s="234"/>
      <c r="Z197" s="218"/>
      <c r="AA197" s="218"/>
      <c r="AB197" s="225"/>
      <c r="AC197" s="218"/>
      <c r="AD197" s="218"/>
      <c r="AE197" s="225"/>
      <c r="AF197" s="249"/>
      <c r="AG197" s="249"/>
      <c r="AH197" s="249"/>
      <c r="AI197" s="249"/>
      <c r="AJ197" s="249"/>
      <c r="AK197" s="249"/>
    </row>
    <row r="198" spans="2:38" x14ac:dyDescent="0.2">
      <c r="B198" s="214" t="s">
        <v>433</v>
      </c>
      <c r="C198" s="214" t="s">
        <v>438</v>
      </c>
      <c r="D198" s="232" t="s">
        <v>440</v>
      </c>
      <c r="E198" s="216" t="s">
        <v>83</v>
      </c>
      <c r="F198" s="216" t="s">
        <v>251</v>
      </c>
      <c r="G198" s="270">
        <v>1</v>
      </c>
      <c r="H198" s="242">
        <v>4226000</v>
      </c>
      <c r="I198" s="218"/>
      <c r="J198" s="234"/>
      <c r="K198" s="218"/>
      <c r="L198" s="218"/>
      <c r="M198" s="234"/>
      <c r="N198" s="234"/>
      <c r="O198" s="225"/>
      <c r="P198" s="225"/>
      <c r="Q198" s="234"/>
      <c r="R198" s="234"/>
      <c r="S198" s="225"/>
      <c r="T198" s="254"/>
      <c r="U198" s="234"/>
      <c r="V198" s="220"/>
      <c r="W198" s="218"/>
      <c r="X198" s="220"/>
      <c r="Y198" s="234"/>
      <c r="Z198" s="220"/>
      <c r="AA198" s="220"/>
      <c r="AB198" s="225"/>
      <c r="AC198" s="220"/>
      <c r="AD198" s="218"/>
      <c r="AE198" s="234"/>
      <c r="AF198" s="250"/>
      <c r="AG198" s="250"/>
      <c r="AH198" s="250"/>
      <c r="AI198" s="250"/>
      <c r="AJ198" s="250"/>
      <c r="AK198" s="250"/>
    </row>
    <row r="199" spans="2:38" x14ac:dyDescent="0.2">
      <c r="B199" s="214" t="s">
        <v>433</v>
      </c>
      <c r="C199" s="214" t="s">
        <v>441</v>
      </c>
      <c r="D199" s="232" t="s">
        <v>442</v>
      </c>
      <c r="E199" s="216" t="s">
        <v>552</v>
      </c>
      <c r="F199" s="216" t="s">
        <v>251</v>
      </c>
      <c r="G199" s="270">
        <v>1</v>
      </c>
      <c r="H199" s="265">
        <f>356000*2</f>
        <v>712000</v>
      </c>
      <c r="I199" s="220"/>
      <c r="J199" s="218"/>
      <c r="K199" s="218"/>
      <c r="L199" s="218"/>
      <c r="M199" s="234"/>
      <c r="N199" s="234"/>
      <c r="O199" s="225"/>
      <c r="P199" s="234"/>
      <c r="Q199" s="234"/>
      <c r="R199" s="225"/>
      <c r="S199" s="225"/>
      <c r="T199" s="225"/>
      <c r="U199" s="234"/>
      <c r="V199" s="218"/>
      <c r="W199" s="218"/>
      <c r="X199" s="218"/>
      <c r="Y199" s="234"/>
      <c r="Z199" s="218"/>
      <c r="AA199" s="218"/>
      <c r="AB199" s="234"/>
      <c r="AC199" s="218"/>
      <c r="AD199" s="218"/>
      <c r="AE199" s="234"/>
      <c r="AF199" s="250"/>
      <c r="AG199" s="250"/>
      <c r="AH199" s="250"/>
      <c r="AI199" s="250"/>
      <c r="AJ199" s="250"/>
      <c r="AK199" s="250"/>
    </row>
    <row r="200" spans="2:38" x14ac:dyDescent="0.2">
      <c r="B200" s="214" t="s">
        <v>433</v>
      </c>
      <c r="C200" s="214" t="s">
        <v>443</v>
      </c>
      <c r="D200" s="232" t="s">
        <v>562</v>
      </c>
      <c r="E200" s="216" t="s">
        <v>527</v>
      </c>
      <c r="F200" s="216" t="s">
        <v>251</v>
      </c>
      <c r="G200" s="270">
        <v>1</v>
      </c>
      <c r="H200" s="242">
        <f>4135263*2</f>
        <v>8270526</v>
      </c>
      <c r="I200" s="220"/>
      <c r="J200" s="225"/>
      <c r="K200" s="218"/>
      <c r="L200" s="218"/>
      <c r="M200" s="234"/>
      <c r="N200" s="225"/>
      <c r="O200" s="225"/>
      <c r="P200" s="234"/>
      <c r="Q200" s="234"/>
      <c r="R200" s="225"/>
      <c r="S200" s="225"/>
      <c r="T200" s="225"/>
      <c r="U200" s="234"/>
      <c r="V200" s="218"/>
      <c r="W200" s="218"/>
      <c r="X200" s="218"/>
      <c r="Y200" s="234"/>
      <c r="Z200" s="218"/>
      <c r="AA200" s="218"/>
      <c r="AB200" s="225"/>
      <c r="AC200" s="218"/>
      <c r="AD200" s="218"/>
      <c r="AE200" s="234"/>
      <c r="AF200" s="250"/>
      <c r="AG200" s="250"/>
      <c r="AH200" s="250"/>
      <c r="AI200" s="250"/>
      <c r="AJ200" s="250"/>
      <c r="AK200" s="250"/>
    </row>
    <row r="201" spans="2:38" ht="17.25" customHeight="1" x14ac:dyDescent="0.2">
      <c r="B201" s="214" t="s">
        <v>444</v>
      </c>
      <c r="C201" s="214" t="s">
        <v>445</v>
      </c>
      <c r="D201" s="232" t="s">
        <v>446</v>
      </c>
      <c r="E201" s="216" t="s">
        <v>66</v>
      </c>
      <c r="F201" s="216" t="s">
        <v>251</v>
      </c>
      <c r="G201" s="270">
        <v>1</v>
      </c>
      <c r="H201" s="242">
        <v>2900000</v>
      </c>
      <c r="I201" s="220"/>
      <c r="J201" s="234"/>
      <c r="K201" s="218"/>
      <c r="L201" s="218"/>
      <c r="M201" s="234"/>
      <c r="N201" s="225"/>
      <c r="O201" s="225"/>
      <c r="P201" s="234"/>
      <c r="Q201" s="234"/>
      <c r="R201" s="234"/>
      <c r="S201" s="234"/>
      <c r="T201" s="234"/>
      <c r="U201" s="234"/>
      <c r="V201" s="220"/>
      <c r="W201" s="220"/>
      <c r="X201" s="220"/>
      <c r="Y201" s="234"/>
      <c r="Z201" s="220"/>
      <c r="AA201" s="220"/>
      <c r="AB201" s="234"/>
      <c r="AC201" s="220"/>
      <c r="AD201" s="220"/>
      <c r="AE201" s="234"/>
      <c r="AF201" s="250"/>
      <c r="AG201" s="250"/>
      <c r="AH201" s="250"/>
      <c r="AI201" s="250"/>
      <c r="AJ201" s="250"/>
      <c r="AK201" s="250"/>
    </row>
    <row r="202" spans="2:38" x14ac:dyDescent="0.2">
      <c r="B202" s="214" t="s">
        <v>444</v>
      </c>
      <c r="C202" s="214" t="s">
        <v>447</v>
      </c>
      <c r="D202" s="232" t="s">
        <v>448</v>
      </c>
      <c r="E202" s="216" t="s">
        <v>83</v>
      </c>
      <c r="F202" s="216" t="s">
        <v>449</v>
      </c>
      <c r="G202" s="248">
        <v>1</v>
      </c>
      <c r="H202" s="242">
        <v>15600000</v>
      </c>
      <c r="I202" s="220"/>
      <c r="J202" s="225"/>
      <c r="K202" s="218"/>
      <c r="L202" s="218"/>
      <c r="M202" s="234"/>
      <c r="N202" s="234"/>
      <c r="O202" s="225"/>
      <c r="P202" s="234"/>
      <c r="Q202" s="234"/>
      <c r="R202" s="234"/>
      <c r="S202" s="234"/>
      <c r="T202" s="234"/>
      <c r="U202" s="234"/>
      <c r="V202" s="220"/>
      <c r="W202" s="218"/>
      <c r="X202" s="220"/>
      <c r="Y202" s="234"/>
      <c r="Z202" s="220"/>
      <c r="AA202" s="218"/>
      <c r="AB202" s="234"/>
      <c r="AC202" s="220"/>
      <c r="AD202" s="218"/>
      <c r="AE202" s="225"/>
      <c r="AF202" s="250"/>
      <c r="AG202" s="250"/>
      <c r="AH202" s="250"/>
      <c r="AI202" s="250"/>
      <c r="AJ202" s="250"/>
      <c r="AK202" s="250"/>
    </row>
    <row r="203" spans="2:38" x14ac:dyDescent="0.2">
      <c r="B203" s="214" t="s">
        <v>444</v>
      </c>
      <c r="C203" s="214" t="s">
        <v>450</v>
      </c>
      <c r="D203" s="246" t="s">
        <v>554</v>
      </c>
      <c r="E203" s="216" t="s">
        <v>527</v>
      </c>
      <c r="F203" s="216" t="s">
        <v>110</v>
      </c>
      <c r="G203" s="248">
        <v>1.145548</v>
      </c>
      <c r="H203" s="242">
        <v>22100000</v>
      </c>
      <c r="I203" s="220"/>
      <c r="J203" s="234"/>
      <c r="K203" s="218"/>
      <c r="L203" s="220"/>
      <c r="M203" s="234"/>
      <c r="N203" s="234"/>
      <c r="O203" s="234"/>
      <c r="P203" s="234"/>
      <c r="Q203" s="234"/>
      <c r="R203" s="225"/>
      <c r="S203" s="225"/>
      <c r="T203" s="225"/>
      <c r="U203" s="234"/>
      <c r="V203" s="220"/>
      <c r="W203" s="220"/>
      <c r="X203" s="220"/>
      <c r="Y203" s="234"/>
      <c r="Z203" s="220"/>
      <c r="AA203" s="220"/>
      <c r="AB203" s="234"/>
      <c r="AC203" s="220"/>
      <c r="AD203" s="220"/>
      <c r="AE203" s="225"/>
      <c r="AF203" s="249"/>
      <c r="AG203" s="249"/>
      <c r="AH203" s="249"/>
      <c r="AI203" s="249"/>
      <c r="AJ203" s="249"/>
      <c r="AK203" s="249"/>
    </row>
    <row r="204" spans="2:38" x14ac:dyDescent="0.2">
      <c r="B204" s="214" t="s">
        <v>444</v>
      </c>
      <c r="C204" s="214" t="s">
        <v>450</v>
      </c>
      <c r="D204" s="232" t="s">
        <v>451</v>
      </c>
      <c r="E204" s="216" t="s">
        <v>83</v>
      </c>
      <c r="F204" s="216" t="s">
        <v>452</v>
      </c>
      <c r="G204" s="271">
        <v>0.30674271739999998</v>
      </c>
      <c r="H204" s="242">
        <v>30663545</v>
      </c>
      <c r="I204" s="220"/>
      <c r="J204" s="225"/>
      <c r="K204" s="218"/>
      <c r="L204" s="220"/>
      <c r="M204" s="234"/>
      <c r="N204" s="234"/>
      <c r="O204" s="234"/>
      <c r="P204" s="234"/>
      <c r="Q204" s="234"/>
      <c r="R204" s="234"/>
      <c r="S204" s="234"/>
      <c r="T204" s="234"/>
      <c r="U204" s="234"/>
      <c r="V204" s="220"/>
      <c r="W204" s="218"/>
      <c r="X204" s="220"/>
      <c r="Y204" s="234"/>
      <c r="Z204" s="220"/>
      <c r="AA204" s="220"/>
      <c r="AB204" s="225"/>
      <c r="AC204" s="220"/>
      <c r="AD204" s="220"/>
      <c r="AE204" s="225"/>
      <c r="AF204" s="249"/>
      <c r="AG204" s="250"/>
      <c r="AH204" s="250"/>
      <c r="AI204" s="250"/>
      <c r="AJ204" s="250"/>
      <c r="AK204" s="250"/>
    </row>
    <row r="205" spans="2:38" x14ac:dyDescent="0.2">
      <c r="B205" s="214" t="s">
        <v>444</v>
      </c>
      <c r="C205" s="214" t="s">
        <v>453</v>
      </c>
      <c r="D205" s="232" t="s">
        <v>454</v>
      </c>
      <c r="E205" s="216" t="s">
        <v>83</v>
      </c>
      <c r="F205" s="216" t="s">
        <v>455</v>
      </c>
      <c r="G205" s="248">
        <v>5.0666000000000003E-2</v>
      </c>
      <c r="H205" s="242">
        <v>47700547</v>
      </c>
      <c r="I205" s="220"/>
      <c r="J205" s="225"/>
      <c r="K205" s="218"/>
      <c r="L205" s="218"/>
      <c r="M205" s="234"/>
      <c r="N205" s="234"/>
      <c r="O205" s="225"/>
      <c r="P205" s="234"/>
      <c r="Q205" s="234"/>
      <c r="R205" s="234"/>
      <c r="S205" s="234"/>
      <c r="T205" s="234"/>
      <c r="U205" s="234"/>
      <c r="V205" s="220"/>
      <c r="W205" s="218"/>
      <c r="X205" s="220"/>
      <c r="Y205" s="234"/>
      <c r="Z205" s="220"/>
      <c r="AA205" s="218"/>
      <c r="AB205" s="234"/>
      <c r="AC205" s="220"/>
      <c r="AD205" s="218"/>
      <c r="AE205" s="225"/>
      <c r="AF205" s="249"/>
      <c r="AG205" s="249"/>
      <c r="AH205" s="249"/>
      <c r="AI205" s="249"/>
      <c r="AJ205" s="249"/>
      <c r="AK205" s="249"/>
    </row>
    <row r="206" spans="2:38" x14ac:dyDescent="0.2">
      <c r="B206" s="214" t="s">
        <v>444</v>
      </c>
      <c r="C206" s="214" t="s">
        <v>453</v>
      </c>
      <c r="D206" s="232" t="s">
        <v>456</v>
      </c>
      <c r="E206" s="216" t="s">
        <v>527</v>
      </c>
      <c r="F206" s="216" t="s">
        <v>251</v>
      </c>
      <c r="G206" s="248">
        <v>1</v>
      </c>
      <c r="H206" s="242">
        <v>52269000</v>
      </c>
      <c r="I206" s="218"/>
      <c r="J206" s="225"/>
      <c r="K206" s="218"/>
      <c r="L206" s="218"/>
      <c r="M206" s="234"/>
      <c r="N206" s="234"/>
      <c r="O206" s="225"/>
      <c r="P206" s="225"/>
      <c r="Q206" s="225"/>
      <c r="R206" s="225"/>
      <c r="S206" s="225"/>
      <c r="T206" s="225"/>
      <c r="U206" s="225"/>
      <c r="V206" s="218"/>
      <c r="W206" s="218"/>
      <c r="X206" s="218"/>
      <c r="Y206" s="234"/>
      <c r="Z206" s="218"/>
      <c r="AA206" s="218"/>
      <c r="AB206" s="234"/>
      <c r="AC206" s="218"/>
      <c r="AD206" s="218"/>
      <c r="AE206" s="225"/>
      <c r="AF206" s="249"/>
      <c r="AG206" s="249"/>
      <c r="AH206" s="249"/>
      <c r="AI206" s="249"/>
      <c r="AJ206" s="249"/>
      <c r="AK206" s="249"/>
      <c r="AL206" s="171"/>
    </row>
    <row r="207" spans="2:38" x14ac:dyDescent="0.2">
      <c r="B207" s="214" t="s">
        <v>444</v>
      </c>
      <c r="C207" s="214" t="s">
        <v>453</v>
      </c>
      <c r="D207" s="247" t="s">
        <v>458</v>
      </c>
      <c r="E207" s="216" t="s">
        <v>533</v>
      </c>
      <c r="F207" s="216" t="s">
        <v>455</v>
      </c>
      <c r="G207" s="248">
        <v>5.0909999999999997E-2</v>
      </c>
      <c r="H207" s="242">
        <v>21681492</v>
      </c>
      <c r="I207" s="220"/>
      <c r="J207" s="225"/>
      <c r="K207" s="218"/>
      <c r="L207" s="218"/>
      <c r="M207" s="234"/>
      <c r="N207" s="234"/>
      <c r="O207" s="225"/>
      <c r="P207" s="234"/>
      <c r="Q207" s="234"/>
      <c r="R207" s="225"/>
      <c r="S207" s="225"/>
      <c r="T207" s="225"/>
      <c r="U207" s="225"/>
      <c r="V207" s="218"/>
      <c r="W207" s="218"/>
      <c r="X207" s="218"/>
      <c r="Y207" s="234"/>
      <c r="Z207" s="218"/>
      <c r="AA207" s="218"/>
      <c r="AB207" s="234"/>
      <c r="AC207" s="218"/>
      <c r="AD207" s="218"/>
      <c r="AE207" s="225"/>
      <c r="AF207" s="249"/>
      <c r="AG207" s="249"/>
      <c r="AH207" s="249"/>
      <c r="AI207" s="249"/>
      <c r="AJ207" s="249"/>
      <c r="AK207" s="249"/>
      <c r="AL207" s="171"/>
    </row>
    <row r="208" spans="2:38" x14ac:dyDescent="0.2">
      <c r="B208" s="214" t="s">
        <v>444</v>
      </c>
      <c r="C208" s="214" t="s">
        <v>453</v>
      </c>
      <c r="D208" s="232" t="s">
        <v>460</v>
      </c>
      <c r="E208" s="216" t="s">
        <v>527</v>
      </c>
      <c r="F208" s="216" t="s">
        <v>455</v>
      </c>
      <c r="G208" s="248">
        <v>5.0909999999999997E-2</v>
      </c>
      <c r="H208" s="242">
        <v>44948000</v>
      </c>
      <c r="I208" s="218"/>
      <c r="J208" s="225"/>
      <c r="K208" s="218"/>
      <c r="L208" s="218"/>
      <c r="M208" s="234"/>
      <c r="N208" s="234"/>
      <c r="O208" s="225"/>
      <c r="P208" s="225"/>
      <c r="Q208" s="225"/>
      <c r="R208" s="225"/>
      <c r="S208" s="225"/>
      <c r="T208" s="225"/>
      <c r="U208" s="225"/>
      <c r="V208" s="218"/>
      <c r="W208" s="218"/>
      <c r="X208" s="218"/>
      <c r="Y208" s="234"/>
      <c r="Z208" s="218"/>
      <c r="AA208" s="218"/>
      <c r="AB208" s="234"/>
      <c r="AC208" s="218"/>
      <c r="AD208" s="218"/>
      <c r="AE208" s="225"/>
      <c r="AF208" s="249"/>
      <c r="AG208" s="249"/>
      <c r="AH208" s="249"/>
      <c r="AI208" s="249"/>
      <c r="AJ208" s="249"/>
      <c r="AK208" s="249"/>
      <c r="AL208" s="171"/>
    </row>
    <row r="209" spans="2:38" x14ac:dyDescent="0.2">
      <c r="B209" s="214" t="s">
        <v>444</v>
      </c>
      <c r="C209" s="214" t="s">
        <v>461</v>
      </c>
      <c r="D209" s="232" t="s">
        <v>462</v>
      </c>
      <c r="E209" s="216" t="s">
        <v>527</v>
      </c>
      <c r="F209" s="216" t="s">
        <v>463</v>
      </c>
      <c r="G209" s="248">
        <v>2.6557999999999998E-2</v>
      </c>
      <c r="H209" s="242">
        <v>38350466</v>
      </c>
      <c r="I209" s="220"/>
      <c r="J209" s="225"/>
      <c r="K209" s="218"/>
      <c r="L209" s="218"/>
      <c r="M209" s="234"/>
      <c r="N209" s="234"/>
      <c r="O209" s="225"/>
      <c r="P209" s="234"/>
      <c r="Q209" s="234"/>
      <c r="R209" s="234"/>
      <c r="S209" s="234"/>
      <c r="T209" s="234"/>
      <c r="U209" s="234"/>
      <c r="V209" s="220"/>
      <c r="W209" s="218"/>
      <c r="X209" s="218"/>
      <c r="Y209" s="234"/>
      <c r="Z209" s="220"/>
      <c r="AA209" s="218"/>
      <c r="AB209" s="234"/>
      <c r="AC209" s="218"/>
      <c r="AD209" s="218"/>
      <c r="AE209" s="225"/>
      <c r="AF209" s="249"/>
      <c r="AG209" s="249"/>
      <c r="AH209" s="249"/>
      <c r="AI209" s="249"/>
      <c r="AJ209" s="249"/>
      <c r="AK209" s="249"/>
      <c r="AL209" s="171"/>
    </row>
    <row r="210" spans="2:38" x14ac:dyDescent="0.2">
      <c r="B210" s="214" t="s">
        <v>444</v>
      </c>
      <c r="C210" s="214" t="s">
        <v>464</v>
      </c>
      <c r="D210" s="232" t="s">
        <v>465</v>
      </c>
      <c r="E210" s="216" t="s">
        <v>527</v>
      </c>
      <c r="F210" s="216" t="s">
        <v>466</v>
      </c>
      <c r="G210" s="248">
        <v>0.25767000000000001</v>
      </c>
      <c r="H210" s="242">
        <v>9223074</v>
      </c>
      <c r="I210" s="220"/>
      <c r="J210" s="225"/>
      <c r="K210" s="218"/>
      <c r="L210" s="220"/>
      <c r="M210" s="234"/>
      <c r="N210" s="234"/>
      <c r="O210" s="234"/>
      <c r="P210" s="234"/>
      <c r="Q210" s="234"/>
      <c r="R210" s="234"/>
      <c r="S210" s="234"/>
      <c r="T210" s="234"/>
      <c r="U210" s="225"/>
      <c r="V210" s="218"/>
      <c r="W210" s="218"/>
      <c r="X210" s="218"/>
      <c r="Y210" s="234"/>
      <c r="Z210" s="220"/>
      <c r="AA210" s="218"/>
      <c r="AB210" s="234"/>
      <c r="AC210" s="218"/>
      <c r="AD210" s="218"/>
      <c r="AE210" s="225"/>
      <c r="AF210" s="249"/>
      <c r="AG210" s="249"/>
      <c r="AH210" s="249"/>
      <c r="AI210" s="249"/>
      <c r="AJ210" s="249"/>
      <c r="AK210" s="249"/>
      <c r="AL210" s="171"/>
    </row>
    <row r="211" spans="2:38" x14ac:dyDescent="0.2">
      <c r="B211" s="214" t="s">
        <v>444</v>
      </c>
      <c r="C211" s="214" t="s">
        <v>464</v>
      </c>
      <c r="D211" s="232" t="s">
        <v>467</v>
      </c>
      <c r="E211" s="216" t="s">
        <v>527</v>
      </c>
      <c r="F211" s="216" t="s">
        <v>466</v>
      </c>
      <c r="G211" s="248">
        <v>0.25767000000000001</v>
      </c>
      <c r="H211" s="242">
        <v>42200000</v>
      </c>
      <c r="I211" s="220"/>
      <c r="J211" s="225"/>
      <c r="K211" s="218"/>
      <c r="L211" s="218"/>
      <c r="M211" s="234"/>
      <c r="N211" s="234"/>
      <c r="O211" s="225"/>
      <c r="P211" s="234"/>
      <c r="Q211" s="234"/>
      <c r="R211" s="234"/>
      <c r="S211" s="234"/>
      <c r="T211" s="234"/>
      <c r="U211" s="234"/>
      <c r="V211" s="220"/>
      <c r="W211" s="218"/>
      <c r="X211" s="218"/>
      <c r="Y211" s="234"/>
      <c r="Z211" s="218"/>
      <c r="AA211" s="218"/>
      <c r="AB211" s="234"/>
      <c r="AC211" s="218"/>
      <c r="AD211" s="218"/>
      <c r="AE211" s="225"/>
      <c r="AF211" s="249"/>
      <c r="AG211" s="249"/>
      <c r="AH211" s="249"/>
      <c r="AI211" s="249"/>
      <c r="AJ211" s="249"/>
      <c r="AK211" s="249"/>
      <c r="AL211" s="171"/>
    </row>
    <row r="212" spans="2:38" x14ac:dyDescent="0.2">
      <c r="B212" s="214" t="s">
        <v>444</v>
      </c>
      <c r="C212" s="214" t="s">
        <v>464</v>
      </c>
      <c r="D212" s="232" t="s">
        <v>468</v>
      </c>
      <c r="E212" s="216" t="s">
        <v>527</v>
      </c>
      <c r="F212" s="216" t="s">
        <v>466</v>
      </c>
      <c r="G212" s="248">
        <v>0.25767000000000001</v>
      </c>
      <c r="H212" s="242">
        <v>15005304</v>
      </c>
      <c r="I212" s="220"/>
      <c r="J212" s="225"/>
      <c r="K212" s="218"/>
      <c r="L212" s="218"/>
      <c r="M212" s="234"/>
      <c r="N212" s="234"/>
      <c r="O212" s="225"/>
      <c r="P212" s="234"/>
      <c r="Q212" s="234"/>
      <c r="R212" s="234"/>
      <c r="S212" s="234"/>
      <c r="T212" s="234"/>
      <c r="U212" s="234"/>
      <c r="V212" s="220"/>
      <c r="W212" s="218"/>
      <c r="X212" s="218"/>
      <c r="Y212" s="234"/>
      <c r="Z212" s="220"/>
      <c r="AA212" s="218"/>
      <c r="AB212" s="234"/>
      <c r="AC212" s="218"/>
      <c r="AD212" s="218"/>
      <c r="AE212" s="225"/>
      <c r="AF212" s="249"/>
      <c r="AG212" s="249"/>
      <c r="AH212" s="249"/>
      <c r="AI212" s="249"/>
      <c r="AJ212" s="249"/>
      <c r="AK212" s="249"/>
      <c r="AL212" s="171"/>
    </row>
    <row r="213" spans="2:38" x14ac:dyDescent="0.2">
      <c r="B213" s="214" t="s">
        <v>444</v>
      </c>
      <c r="C213" s="214" t="s">
        <v>464</v>
      </c>
      <c r="D213" s="232" t="s">
        <v>469</v>
      </c>
      <c r="E213" s="216" t="s">
        <v>83</v>
      </c>
      <c r="F213" s="216" t="s">
        <v>466</v>
      </c>
      <c r="G213" s="248">
        <v>0.30189521489999999</v>
      </c>
      <c r="H213" s="242">
        <v>10164000</v>
      </c>
      <c r="I213" s="220"/>
      <c r="J213" s="234"/>
      <c r="K213" s="218"/>
      <c r="L213" s="218"/>
      <c r="M213" s="234"/>
      <c r="N213" s="234"/>
      <c r="O213" s="225"/>
      <c r="P213" s="234"/>
      <c r="Q213" s="234"/>
      <c r="R213" s="234"/>
      <c r="S213" s="234"/>
      <c r="T213" s="234"/>
      <c r="U213" s="234"/>
      <c r="V213" s="220"/>
      <c r="W213" s="220"/>
      <c r="X213" s="220"/>
      <c r="Y213" s="234"/>
      <c r="Z213" s="220"/>
      <c r="AA213" s="220"/>
      <c r="AB213" s="234"/>
      <c r="AC213" s="220"/>
      <c r="AD213" s="220"/>
      <c r="AE213" s="234"/>
      <c r="AF213" s="250"/>
      <c r="AG213" s="250"/>
      <c r="AH213" s="250"/>
      <c r="AI213" s="250"/>
      <c r="AJ213" s="250"/>
      <c r="AK213" s="250"/>
      <c r="AL213" s="171"/>
    </row>
    <row r="214" spans="2:38" x14ac:dyDescent="0.2">
      <c r="B214" s="214" t="s">
        <v>444</v>
      </c>
      <c r="C214" s="214" t="s">
        <v>464</v>
      </c>
      <c r="D214" s="232" t="s">
        <v>470</v>
      </c>
      <c r="E214" s="216" t="s">
        <v>83</v>
      </c>
      <c r="F214" s="216" t="s">
        <v>466</v>
      </c>
      <c r="G214" s="248">
        <v>0.30720078639999998</v>
      </c>
      <c r="H214" s="242">
        <v>108600000</v>
      </c>
      <c r="I214" s="220"/>
      <c r="J214" s="225"/>
      <c r="K214" s="218"/>
      <c r="L214" s="220"/>
      <c r="M214" s="234"/>
      <c r="N214" s="234"/>
      <c r="O214" s="234"/>
      <c r="P214" s="234"/>
      <c r="Q214" s="234"/>
      <c r="R214" s="234"/>
      <c r="S214" s="234"/>
      <c r="T214" s="234"/>
      <c r="U214" s="234"/>
      <c r="V214" s="220"/>
      <c r="W214" s="218"/>
      <c r="X214" s="220"/>
      <c r="Y214" s="234"/>
      <c r="Z214" s="220"/>
      <c r="AA214" s="220"/>
      <c r="AB214" s="234"/>
      <c r="AC214" s="220"/>
      <c r="AD214" s="218"/>
      <c r="AE214" s="225"/>
      <c r="AF214" s="250"/>
      <c r="AG214" s="250"/>
      <c r="AH214" s="250"/>
      <c r="AI214" s="250"/>
      <c r="AJ214" s="250"/>
      <c r="AK214" s="250"/>
      <c r="AL214" s="171"/>
    </row>
    <row r="215" spans="2:38" x14ac:dyDescent="0.2">
      <c r="B215" s="214" t="s">
        <v>444</v>
      </c>
      <c r="C215" s="214" t="s">
        <v>471</v>
      </c>
      <c r="D215" s="232" t="s">
        <v>970</v>
      </c>
      <c r="E215" s="216" t="s">
        <v>527</v>
      </c>
      <c r="F215" s="216" t="s">
        <v>473</v>
      </c>
      <c r="G215" s="248">
        <v>1.441E-3</v>
      </c>
      <c r="H215" s="242">
        <v>23324306</v>
      </c>
      <c r="I215" s="218"/>
      <c r="J215" s="225"/>
      <c r="K215" s="218"/>
      <c r="L215" s="220"/>
      <c r="M215" s="225"/>
      <c r="N215" s="234"/>
      <c r="O215" s="234"/>
      <c r="P215" s="225"/>
      <c r="Q215" s="234"/>
      <c r="R215" s="234"/>
      <c r="S215" s="234"/>
      <c r="T215" s="234"/>
      <c r="U215" s="234"/>
      <c r="V215" s="218"/>
      <c r="W215" s="218"/>
      <c r="X215" s="218"/>
      <c r="Y215" s="234"/>
      <c r="Z215" s="218"/>
      <c r="AA215" s="218"/>
      <c r="AB215" s="234"/>
      <c r="AC215" s="218"/>
      <c r="AD215" s="218"/>
      <c r="AE215" s="225"/>
      <c r="AF215" s="249"/>
      <c r="AG215" s="249"/>
      <c r="AH215" s="249"/>
      <c r="AI215" s="249"/>
      <c r="AJ215" s="249"/>
      <c r="AK215" s="249"/>
      <c r="AL215" s="171"/>
    </row>
    <row r="216" spans="2:38" x14ac:dyDescent="0.2">
      <c r="B216" s="214" t="s">
        <v>444</v>
      </c>
      <c r="C216" s="214" t="s">
        <v>471</v>
      </c>
      <c r="D216" s="232" t="s">
        <v>474</v>
      </c>
      <c r="E216" s="216" t="s">
        <v>527</v>
      </c>
      <c r="F216" s="216" t="s">
        <v>473</v>
      </c>
      <c r="G216" s="248">
        <v>1.441E-3</v>
      </c>
      <c r="H216" s="242">
        <v>1955521</v>
      </c>
      <c r="I216" s="220"/>
      <c r="J216" s="234"/>
      <c r="K216" s="218"/>
      <c r="L216" s="218"/>
      <c r="M216" s="234"/>
      <c r="N216" s="234"/>
      <c r="O216" s="225"/>
      <c r="P216" s="234"/>
      <c r="Q216" s="234"/>
      <c r="R216" s="234"/>
      <c r="S216" s="234"/>
      <c r="T216" s="234"/>
      <c r="U216" s="234"/>
      <c r="V216" s="220"/>
      <c r="W216" s="218"/>
      <c r="X216" s="220"/>
      <c r="Y216" s="234"/>
      <c r="Z216" s="220"/>
      <c r="AA216" s="218"/>
      <c r="AB216" s="234"/>
      <c r="AC216" s="220"/>
      <c r="AD216" s="218"/>
      <c r="AE216" s="225"/>
      <c r="AF216" s="249"/>
      <c r="AG216" s="249"/>
      <c r="AH216" s="249"/>
      <c r="AI216" s="249"/>
      <c r="AJ216" s="249"/>
      <c r="AK216" s="249"/>
    </row>
    <row r="217" spans="2:38" ht="19.5" customHeight="1" x14ac:dyDescent="0.2">
      <c r="B217" s="214" t="s">
        <v>444</v>
      </c>
      <c r="C217" s="214" t="s">
        <v>471</v>
      </c>
      <c r="D217" s="232" t="s">
        <v>475</v>
      </c>
      <c r="E217" s="216" t="s">
        <v>527</v>
      </c>
      <c r="F217" s="216" t="s">
        <v>473</v>
      </c>
      <c r="G217" s="248">
        <v>1.441E-3</v>
      </c>
      <c r="H217" s="242">
        <f>2030700*2</f>
        <v>4061400</v>
      </c>
      <c r="I217" s="220"/>
      <c r="J217" s="234"/>
      <c r="K217" s="218"/>
      <c r="L217" s="218"/>
      <c r="M217" s="234"/>
      <c r="N217" s="234"/>
      <c r="O217" s="225"/>
      <c r="P217" s="234"/>
      <c r="Q217" s="234"/>
      <c r="R217" s="234"/>
      <c r="S217" s="225"/>
      <c r="T217" s="234"/>
      <c r="U217" s="234"/>
      <c r="V217" s="218"/>
      <c r="W217" s="218"/>
      <c r="X217" s="220"/>
      <c r="Y217" s="234"/>
      <c r="Z217" s="220"/>
      <c r="AA217" s="220"/>
      <c r="AB217" s="234"/>
      <c r="AC217" s="220"/>
      <c r="AD217" s="218"/>
      <c r="AE217" s="225"/>
      <c r="AF217" s="249"/>
      <c r="AG217" s="249"/>
      <c r="AH217" s="249"/>
      <c r="AI217" s="249"/>
      <c r="AJ217" s="249"/>
      <c r="AK217" s="249"/>
      <c r="AL217" s="171"/>
    </row>
    <row r="218" spans="2:38" ht="19.5" customHeight="1" x14ac:dyDescent="0.2">
      <c r="B218" s="214" t="s">
        <v>444</v>
      </c>
      <c r="C218" s="214" t="s">
        <v>471</v>
      </c>
      <c r="D218" s="232" t="s">
        <v>477</v>
      </c>
      <c r="E218" s="216" t="s">
        <v>527</v>
      </c>
      <c r="F218" s="216" t="s">
        <v>473</v>
      </c>
      <c r="G218" s="248">
        <v>1.441E-3</v>
      </c>
      <c r="H218" s="242">
        <v>919366</v>
      </c>
      <c r="I218" s="220"/>
      <c r="J218" s="234"/>
      <c r="K218" s="218"/>
      <c r="L218" s="218"/>
      <c r="M218" s="234"/>
      <c r="N218" s="234"/>
      <c r="O218" s="225"/>
      <c r="P218" s="234"/>
      <c r="Q218" s="234"/>
      <c r="R218" s="234"/>
      <c r="S218" s="225"/>
      <c r="T218" s="234"/>
      <c r="U218" s="234"/>
      <c r="V218" s="218"/>
      <c r="W218" s="218"/>
      <c r="X218" s="218"/>
      <c r="Y218" s="234"/>
      <c r="Z218" s="218"/>
      <c r="AA218" s="218"/>
      <c r="AB218" s="234"/>
      <c r="AC218" s="218"/>
      <c r="AD218" s="218"/>
      <c r="AE218" s="225"/>
      <c r="AF218" s="249"/>
      <c r="AG218" s="249"/>
      <c r="AH218" s="249"/>
      <c r="AI218" s="249"/>
      <c r="AJ218" s="249"/>
      <c r="AK218" s="249"/>
    </row>
    <row r="219" spans="2:38" x14ac:dyDescent="0.2">
      <c r="B219" s="214" t="s">
        <v>444</v>
      </c>
      <c r="C219" s="214" t="s">
        <v>478</v>
      </c>
      <c r="D219" s="232" t="s">
        <v>479</v>
      </c>
      <c r="E219" s="216" t="s">
        <v>527</v>
      </c>
      <c r="F219" s="216" t="s">
        <v>480</v>
      </c>
      <c r="G219" s="248">
        <v>3.0800000000000001E-4</v>
      </c>
      <c r="H219" s="242">
        <v>32700000</v>
      </c>
      <c r="I219" s="220"/>
      <c r="J219" s="225"/>
      <c r="K219" s="218"/>
      <c r="L219" s="220"/>
      <c r="M219" s="234"/>
      <c r="N219" s="234"/>
      <c r="O219" s="234"/>
      <c r="P219" s="234"/>
      <c r="Q219" s="234"/>
      <c r="R219" s="234"/>
      <c r="S219" s="234"/>
      <c r="T219" s="234"/>
      <c r="U219" s="234"/>
      <c r="V219" s="220"/>
      <c r="W219" s="220"/>
      <c r="X219" s="220"/>
      <c r="Y219" s="234"/>
      <c r="Z219" s="220"/>
      <c r="AA219" s="220"/>
      <c r="AB219" s="234"/>
      <c r="AC219" s="220"/>
      <c r="AD219" s="220"/>
      <c r="AE219" s="225"/>
      <c r="AF219" s="250"/>
      <c r="AG219" s="250"/>
      <c r="AH219" s="250"/>
      <c r="AI219" s="250"/>
      <c r="AJ219" s="250"/>
      <c r="AK219" s="250"/>
    </row>
    <row r="220" spans="2:38" x14ac:dyDescent="0.2">
      <c r="B220" s="214" t="s">
        <v>444</v>
      </c>
      <c r="C220" s="214" t="s">
        <v>481</v>
      </c>
      <c r="D220" s="232" t="s">
        <v>482</v>
      </c>
      <c r="E220" s="216" t="s">
        <v>527</v>
      </c>
      <c r="F220" s="216" t="s">
        <v>251</v>
      </c>
      <c r="G220" s="270">
        <v>1</v>
      </c>
      <c r="H220" s="242">
        <v>5300000</v>
      </c>
      <c r="I220" s="220"/>
      <c r="J220" s="234"/>
      <c r="K220" s="218"/>
      <c r="L220" s="220"/>
      <c r="M220" s="234"/>
      <c r="N220" s="234"/>
      <c r="O220" s="234"/>
      <c r="P220" s="234"/>
      <c r="Q220" s="234"/>
      <c r="R220" s="234"/>
      <c r="S220" s="234"/>
      <c r="T220" s="234"/>
      <c r="U220" s="234"/>
      <c r="V220" s="220"/>
      <c r="W220" s="220"/>
      <c r="X220" s="220"/>
      <c r="Y220" s="234"/>
      <c r="Z220" s="220"/>
      <c r="AA220" s="220"/>
      <c r="AB220" s="234"/>
      <c r="AC220" s="220"/>
      <c r="AD220" s="220"/>
      <c r="AE220" s="225"/>
      <c r="AF220" s="250"/>
      <c r="AG220" s="250"/>
      <c r="AH220" s="250"/>
      <c r="AI220" s="250"/>
      <c r="AJ220" s="250"/>
      <c r="AK220" s="250"/>
    </row>
    <row r="221" spans="2:38" x14ac:dyDescent="0.2">
      <c r="B221" s="214" t="s">
        <v>444</v>
      </c>
      <c r="C221" s="214" t="s">
        <v>481</v>
      </c>
      <c r="D221" s="232" t="s">
        <v>483</v>
      </c>
      <c r="E221" s="216" t="s">
        <v>66</v>
      </c>
      <c r="F221" s="216" t="s">
        <v>251</v>
      </c>
      <c r="G221" s="270">
        <v>1</v>
      </c>
      <c r="H221" s="242">
        <v>3749467</v>
      </c>
      <c r="I221" s="218"/>
      <c r="J221" s="234"/>
      <c r="K221" s="218"/>
      <c r="L221" s="218"/>
      <c r="M221" s="225"/>
      <c r="N221" s="234"/>
      <c r="O221" s="225"/>
      <c r="P221" s="225"/>
      <c r="Q221" s="234"/>
      <c r="R221" s="234"/>
      <c r="S221" s="234"/>
      <c r="T221" s="234"/>
      <c r="U221" s="234"/>
      <c r="V221" s="220"/>
      <c r="W221" s="218"/>
      <c r="X221" s="220"/>
      <c r="Y221" s="234"/>
      <c r="Z221" s="220"/>
      <c r="AA221" s="220"/>
      <c r="AB221" s="234"/>
      <c r="AC221" s="220"/>
      <c r="AD221" s="218"/>
      <c r="AE221" s="225"/>
      <c r="AF221" s="250"/>
      <c r="AG221" s="250"/>
      <c r="AH221" s="250"/>
      <c r="AI221" s="250"/>
      <c r="AJ221" s="250"/>
      <c r="AK221" s="250"/>
    </row>
    <row r="222" spans="2:38" x14ac:dyDescent="0.2">
      <c r="B222" s="214" t="s">
        <v>444</v>
      </c>
      <c r="C222" s="214" t="s">
        <v>484</v>
      </c>
      <c r="D222" s="232" t="s">
        <v>485</v>
      </c>
      <c r="E222" s="216" t="s">
        <v>66</v>
      </c>
      <c r="F222" s="216" t="s">
        <v>486</v>
      </c>
      <c r="G222" s="248">
        <v>4.9111090000000003E-3</v>
      </c>
      <c r="H222" s="273">
        <v>572000</v>
      </c>
      <c r="I222" s="236"/>
      <c r="J222" s="234"/>
      <c r="K222" s="218"/>
      <c r="L222" s="220"/>
      <c r="M222" s="234"/>
      <c r="N222" s="234"/>
      <c r="O222" s="234"/>
      <c r="P222" s="234"/>
      <c r="Q222" s="234"/>
      <c r="R222" s="234"/>
      <c r="S222" s="234"/>
      <c r="T222" s="234"/>
      <c r="U222" s="234"/>
      <c r="V222" s="220"/>
      <c r="W222" s="220"/>
      <c r="X222" s="220"/>
      <c r="Y222" s="234"/>
      <c r="Z222" s="220"/>
      <c r="AA222" s="220"/>
      <c r="AB222" s="254"/>
      <c r="AC222" s="220"/>
      <c r="AD222" s="220"/>
      <c r="AE222" s="234"/>
      <c r="AF222" s="250"/>
      <c r="AG222" s="250"/>
      <c r="AH222" s="250"/>
      <c r="AI222" s="250"/>
      <c r="AJ222" s="250"/>
      <c r="AK222" s="250"/>
    </row>
    <row r="223" spans="2:38" x14ac:dyDescent="0.2">
      <c r="B223" s="214" t="s">
        <v>444</v>
      </c>
      <c r="C223" s="214" t="s">
        <v>487</v>
      </c>
      <c r="D223" s="232" t="s">
        <v>488</v>
      </c>
      <c r="E223" s="216" t="s">
        <v>533</v>
      </c>
      <c r="F223" s="216" t="s">
        <v>251</v>
      </c>
      <c r="G223" s="270">
        <v>1</v>
      </c>
      <c r="H223" s="242">
        <v>2074668</v>
      </c>
      <c r="I223" s="220"/>
      <c r="J223" s="234"/>
      <c r="K223" s="218"/>
      <c r="L223" s="218"/>
      <c r="M223" s="234"/>
      <c r="N223" s="234"/>
      <c r="O223" s="225"/>
      <c r="P223" s="234"/>
      <c r="Q223" s="234"/>
      <c r="R223" s="234"/>
      <c r="S223" s="234"/>
      <c r="T223" s="234"/>
      <c r="U223" s="234"/>
      <c r="V223" s="220"/>
      <c r="W223" s="218"/>
      <c r="X223" s="218"/>
      <c r="Y223" s="234"/>
      <c r="Z223" s="218"/>
      <c r="AA223" s="218"/>
      <c r="AB223" s="234"/>
      <c r="AC223" s="218"/>
      <c r="AD223" s="218"/>
      <c r="AE223" s="225"/>
      <c r="AF223" s="249"/>
      <c r="AG223" s="249"/>
      <c r="AH223" s="249"/>
      <c r="AI223" s="249"/>
      <c r="AJ223" s="249"/>
      <c r="AK223" s="249"/>
    </row>
    <row r="224" spans="2:38" x14ac:dyDescent="0.2">
      <c r="B224" s="214" t="s">
        <v>489</v>
      </c>
      <c r="C224" s="214" t="s">
        <v>490</v>
      </c>
      <c r="D224" s="232" t="s">
        <v>491</v>
      </c>
      <c r="E224" s="216" t="s">
        <v>527</v>
      </c>
      <c r="F224" s="216" t="s">
        <v>492</v>
      </c>
      <c r="G224" s="248">
        <v>0.73290200000000005</v>
      </c>
      <c r="H224" s="242">
        <v>19428143</v>
      </c>
      <c r="I224" s="220"/>
      <c r="J224" s="225"/>
      <c r="K224" s="218"/>
      <c r="L224" s="218"/>
      <c r="M224" s="234"/>
      <c r="N224" s="234"/>
      <c r="O224" s="225"/>
      <c r="P224" s="234"/>
      <c r="Q224" s="234"/>
      <c r="R224" s="234"/>
      <c r="S224" s="234"/>
      <c r="T224" s="234"/>
      <c r="U224" s="234"/>
      <c r="V224" s="220"/>
      <c r="W224" s="218"/>
      <c r="X224" s="218"/>
      <c r="Y224" s="234"/>
      <c r="Z224" s="220"/>
      <c r="AA224" s="218"/>
      <c r="AB224" s="262"/>
      <c r="AC224" s="220"/>
      <c r="AD224" s="220"/>
      <c r="AE224" s="225"/>
      <c r="AF224" s="249"/>
      <c r="AG224" s="249"/>
      <c r="AH224" s="249"/>
      <c r="AI224" s="249"/>
      <c r="AJ224" s="249"/>
      <c r="AK224" s="249"/>
    </row>
    <row r="225" spans="2:37" x14ac:dyDescent="0.2">
      <c r="B225" s="214" t="s">
        <v>489</v>
      </c>
      <c r="C225" s="214" t="s">
        <v>490</v>
      </c>
      <c r="D225" s="232" t="s">
        <v>493</v>
      </c>
      <c r="E225" s="216" t="s">
        <v>527</v>
      </c>
      <c r="F225" s="216" t="s">
        <v>492</v>
      </c>
      <c r="G225" s="248">
        <v>0.73290200000000005</v>
      </c>
      <c r="H225" s="242">
        <v>49500000</v>
      </c>
      <c r="I225" s="220"/>
      <c r="J225" s="225"/>
      <c r="K225" s="218"/>
      <c r="L225" s="218"/>
      <c r="M225" s="234"/>
      <c r="N225" s="225"/>
      <c r="O225" s="225"/>
      <c r="P225" s="234"/>
      <c r="Q225" s="234"/>
      <c r="R225" s="234"/>
      <c r="S225" s="234"/>
      <c r="T225" s="234"/>
      <c r="U225" s="234"/>
      <c r="V225" s="218"/>
      <c r="W225" s="218"/>
      <c r="X225" s="218"/>
      <c r="Y225" s="234"/>
      <c r="Z225" s="220"/>
      <c r="AA225" s="218"/>
      <c r="AB225" s="225"/>
      <c r="AC225" s="218"/>
      <c r="AD225" s="218"/>
      <c r="AE225" s="225"/>
      <c r="AF225" s="249"/>
      <c r="AG225" s="249"/>
      <c r="AH225" s="249"/>
      <c r="AI225" s="249"/>
      <c r="AJ225" s="249"/>
      <c r="AK225" s="249"/>
    </row>
    <row r="226" spans="2:37" x14ac:dyDescent="0.2">
      <c r="B226" s="214" t="s">
        <v>489</v>
      </c>
      <c r="C226" s="214" t="s">
        <v>490</v>
      </c>
      <c r="D226" s="232" t="s">
        <v>494</v>
      </c>
      <c r="E226" s="216" t="s">
        <v>527</v>
      </c>
      <c r="F226" s="216" t="s">
        <v>492</v>
      </c>
      <c r="G226" s="248">
        <v>0.73290200000000005</v>
      </c>
      <c r="H226" s="242">
        <v>25900000</v>
      </c>
      <c r="I226" s="220"/>
      <c r="J226" s="225"/>
      <c r="K226" s="218"/>
      <c r="L226" s="218"/>
      <c r="M226" s="234"/>
      <c r="N226" s="234"/>
      <c r="O226" s="225"/>
      <c r="P226" s="234"/>
      <c r="Q226" s="234"/>
      <c r="R226" s="234"/>
      <c r="S226" s="234"/>
      <c r="T226" s="234"/>
      <c r="U226" s="234"/>
      <c r="V226" s="218"/>
      <c r="W226" s="218"/>
      <c r="X226" s="218"/>
      <c r="Y226" s="234"/>
      <c r="Z226" s="220"/>
      <c r="AA226" s="218"/>
      <c r="AB226" s="225"/>
      <c r="AC226" s="218"/>
      <c r="AD226" s="218"/>
      <c r="AE226" s="225"/>
      <c r="AF226" s="250"/>
      <c r="AG226" s="250"/>
      <c r="AH226" s="250"/>
      <c r="AI226" s="250"/>
      <c r="AJ226" s="250"/>
      <c r="AK226" s="249"/>
    </row>
    <row r="227" spans="2:37" x14ac:dyDescent="0.2">
      <c r="B227" s="214" t="s">
        <v>489</v>
      </c>
      <c r="C227" s="214" t="s">
        <v>490</v>
      </c>
      <c r="D227" s="232" t="s">
        <v>495</v>
      </c>
      <c r="E227" s="216" t="s">
        <v>527</v>
      </c>
      <c r="F227" s="216" t="s">
        <v>492</v>
      </c>
      <c r="G227" s="248">
        <v>0.73290200000000005</v>
      </c>
      <c r="H227" s="242">
        <v>17300000</v>
      </c>
      <c r="I227" s="220"/>
      <c r="J227" s="225"/>
      <c r="K227" s="218"/>
      <c r="L227" s="218"/>
      <c r="M227" s="234"/>
      <c r="N227" s="234"/>
      <c r="O227" s="225"/>
      <c r="P227" s="234"/>
      <c r="Q227" s="234"/>
      <c r="R227" s="234"/>
      <c r="S227" s="234"/>
      <c r="T227" s="234"/>
      <c r="U227" s="234"/>
      <c r="V227" s="218"/>
      <c r="W227" s="218"/>
      <c r="X227" s="218"/>
      <c r="Y227" s="234"/>
      <c r="Z227" s="220"/>
      <c r="AA227" s="218"/>
      <c r="AB227" s="234"/>
      <c r="AC227" s="218"/>
      <c r="AD227" s="218"/>
      <c r="AE227" s="225"/>
      <c r="AF227" s="249"/>
      <c r="AG227" s="249"/>
      <c r="AH227" s="249"/>
      <c r="AI227" s="249"/>
      <c r="AJ227" s="249"/>
      <c r="AK227" s="249"/>
    </row>
    <row r="228" spans="2:37" x14ac:dyDescent="0.2">
      <c r="B228" s="214" t="s">
        <v>489</v>
      </c>
      <c r="C228" s="214" t="s">
        <v>490</v>
      </c>
      <c r="D228" s="232" t="s">
        <v>496</v>
      </c>
      <c r="E228" s="216" t="s">
        <v>527</v>
      </c>
      <c r="F228" s="216" t="s">
        <v>492</v>
      </c>
      <c r="G228" s="248">
        <v>0.73290200000000005</v>
      </c>
      <c r="H228" s="242">
        <v>8254100</v>
      </c>
      <c r="I228" s="220"/>
      <c r="J228" s="234"/>
      <c r="K228" s="218"/>
      <c r="L228" s="218"/>
      <c r="M228" s="234"/>
      <c r="N228" s="234"/>
      <c r="O228" s="225"/>
      <c r="P228" s="234"/>
      <c r="Q228" s="234"/>
      <c r="R228" s="234"/>
      <c r="S228" s="234"/>
      <c r="T228" s="234"/>
      <c r="U228" s="234"/>
      <c r="V228" s="220"/>
      <c r="W228" s="218"/>
      <c r="X228" s="218"/>
      <c r="Y228" s="234"/>
      <c r="Z228" s="220"/>
      <c r="AA228" s="218"/>
      <c r="AB228" s="234"/>
      <c r="AC228" s="218"/>
      <c r="AD228" s="218"/>
      <c r="AE228" s="225"/>
      <c r="AF228" s="249"/>
      <c r="AG228" s="249"/>
      <c r="AH228" s="249"/>
      <c r="AI228" s="249"/>
      <c r="AJ228" s="249"/>
      <c r="AK228" s="249"/>
    </row>
    <row r="229" spans="2:37" x14ac:dyDescent="0.2">
      <c r="B229" s="214" t="s">
        <v>489</v>
      </c>
      <c r="C229" s="214" t="s">
        <v>490</v>
      </c>
      <c r="D229" s="232" t="s">
        <v>497</v>
      </c>
      <c r="E229" s="216" t="s">
        <v>527</v>
      </c>
      <c r="F229" s="216" t="s">
        <v>492</v>
      </c>
      <c r="G229" s="248">
        <v>0.73290200000000005</v>
      </c>
      <c r="H229" s="242">
        <v>4316079</v>
      </c>
      <c r="I229" s="220"/>
      <c r="J229" s="234"/>
      <c r="K229" s="218"/>
      <c r="L229" s="218"/>
      <c r="M229" s="234"/>
      <c r="N229" s="234"/>
      <c r="O229" s="225"/>
      <c r="P229" s="234"/>
      <c r="Q229" s="234"/>
      <c r="R229" s="234"/>
      <c r="S229" s="234"/>
      <c r="T229" s="234"/>
      <c r="U229" s="234"/>
      <c r="V229" s="218"/>
      <c r="W229" s="218"/>
      <c r="X229" s="218"/>
      <c r="Y229" s="234"/>
      <c r="Z229" s="220"/>
      <c r="AA229" s="218"/>
      <c r="AB229" s="234"/>
      <c r="AC229" s="218"/>
      <c r="AD229" s="218"/>
      <c r="AE229" s="225"/>
      <c r="AF229" s="249"/>
      <c r="AG229" s="249"/>
      <c r="AH229" s="249"/>
      <c r="AI229" s="249"/>
      <c r="AJ229" s="249"/>
      <c r="AK229" s="249"/>
    </row>
    <row r="230" spans="2:37" x14ac:dyDescent="0.2">
      <c r="B230" s="214" t="s">
        <v>489</v>
      </c>
      <c r="C230" s="214" t="s">
        <v>490</v>
      </c>
      <c r="D230" s="232" t="s">
        <v>498</v>
      </c>
      <c r="E230" s="216" t="s">
        <v>527</v>
      </c>
      <c r="F230" s="216" t="s">
        <v>492</v>
      </c>
      <c r="G230" s="248">
        <v>0.73290200000000005</v>
      </c>
      <c r="H230" s="242">
        <v>5110801</v>
      </c>
      <c r="I230" s="220"/>
      <c r="J230" s="234"/>
      <c r="K230" s="218"/>
      <c r="L230" s="220"/>
      <c r="M230" s="234"/>
      <c r="N230" s="234"/>
      <c r="O230" s="234"/>
      <c r="P230" s="234"/>
      <c r="Q230" s="234"/>
      <c r="R230" s="234"/>
      <c r="S230" s="234"/>
      <c r="T230" s="234"/>
      <c r="U230" s="234"/>
      <c r="V230" s="218"/>
      <c r="W230" s="218"/>
      <c r="X230" s="218"/>
      <c r="Y230" s="234"/>
      <c r="Z230" s="220"/>
      <c r="AA230" s="218"/>
      <c r="AB230" s="234"/>
      <c r="AC230" s="218"/>
      <c r="AD230" s="218"/>
      <c r="AE230" s="225"/>
      <c r="AF230" s="249"/>
      <c r="AG230" s="249"/>
      <c r="AH230" s="249"/>
      <c r="AI230" s="249"/>
      <c r="AJ230" s="249"/>
      <c r="AK230" s="249"/>
    </row>
    <row r="231" spans="2:37" x14ac:dyDescent="0.2">
      <c r="B231" s="214" t="s">
        <v>489</v>
      </c>
      <c r="C231" s="214" t="s">
        <v>490</v>
      </c>
      <c r="D231" s="232" t="s">
        <v>499</v>
      </c>
      <c r="E231" s="216" t="s">
        <v>527</v>
      </c>
      <c r="F231" s="216" t="s">
        <v>492</v>
      </c>
      <c r="G231" s="248">
        <v>0.73290200000000005</v>
      </c>
      <c r="H231" s="265">
        <v>4500000</v>
      </c>
      <c r="I231" s="266"/>
      <c r="J231" s="234"/>
      <c r="K231" s="218"/>
      <c r="L231" s="218"/>
      <c r="M231" s="234"/>
      <c r="N231" s="234"/>
      <c r="O231" s="225"/>
      <c r="P231" s="254"/>
      <c r="Q231" s="234"/>
      <c r="R231" s="234"/>
      <c r="S231" s="234"/>
      <c r="T231" s="254"/>
      <c r="U231" s="234"/>
      <c r="V231" s="220"/>
      <c r="W231" s="218"/>
      <c r="X231" s="218"/>
      <c r="Y231" s="234"/>
      <c r="Z231" s="220"/>
      <c r="AA231" s="218"/>
      <c r="AB231" s="254"/>
      <c r="AC231" s="218"/>
      <c r="AD231" s="218"/>
      <c r="AE231" s="225"/>
      <c r="AF231" s="249"/>
      <c r="AG231" s="249"/>
      <c r="AH231" s="249"/>
      <c r="AI231" s="249"/>
      <c r="AJ231" s="249"/>
      <c r="AK231" s="249"/>
    </row>
    <row r="232" spans="2:37" x14ac:dyDescent="0.2">
      <c r="B232" s="214" t="s">
        <v>489</v>
      </c>
      <c r="C232" s="214" t="s">
        <v>490</v>
      </c>
      <c r="D232" s="232" t="s">
        <v>555</v>
      </c>
      <c r="E232" s="216" t="s">
        <v>527</v>
      </c>
      <c r="F232" s="216" t="s">
        <v>492</v>
      </c>
      <c r="G232" s="248">
        <v>0.73290200000000005</v>
      </c>
      <c r="H232" s="265">
        <v>2048627</v>
      </c>
      <c r="I232" s="266"/>
      <c r="J232" s="234"/>
      <c r="K232" s="218"/>
      <c r="L232" s="218"/>
      <c r="M232" s="234"/>
      <c r="N232" s="234"/>
      <c r="O232" s="225"/>
      <c r="P232" s="254"/>
      <c r="Q232" s="234"/>
      <c r="R232" s="234"/>
      <c r="S232" s="234"/>
      <c r="T232" s="254"/>
      <c r="U232" s="234"/>
      <c r="V232" s="220"/>
      <c r="W232" s="218"/>
      <c r="X232" s="218"/>
      <c r="Y232" s="234"/>
      <c r="Z232" s="220"/>
      <c r="AA232" s="218"/>
      <c r="AB232" s="254"/>
      <c r="AC232" s="218"/>
      <c r="AD232" s="218"/>
      <c r="AE232" s="234"/>
      <c r="AF232" s="249"/>
      <c r="AG232" s="249"/>
      <c r="AH232" s="249"/>
      <c r="AI232" s="249"/>
      <c r="AJ232" s="249"/>
      <c r="AK232" s="249"/>
    </row>
    <row r="233" spans="2:37" x14ac:dyDescent="0.2">
      <c r="B233" s="214" t="s">
        <v>489</v>
      </c>
      <c r="C233" s="214" t="s">
        <v>490</v>
      </c>
      <c r="D233" s="232" t="s">
        <v>1024</v>
      </c>
      <c r="E233" s="216" t="s">
        <v>527</v>
      </c>
      <c r="F233" s="216" t="s">
        <v>492</v>
      </c>
      <c r="G233" s="248">
        <v>0.73290200000000005</v>
      </c>
      <c r="H233" s="265">
        <v>1600000</v>
      </c>
      <c r="I233" s="266"/>
      <c r="J233" s="234"/>
      <c r="K233" s="218"/>
      <c r="L233" s="218"/>
      <c r="M233" s="234"/>
      <c r="N233" s="225"/>
      <c r="O233" s="225"/>
      <c r="P233" s="254"/>
      <c r="Q233" s="234"/>
      <c r="R233" s="234"/>
      <c r="S233" s="234"/>
      <c r="T233" s="254"/>
      <c r="U233" s="234"/>
      <c r="V233" s="218"/>
      <c r="W233" s="218"/>
      <c r="X233" s="218"/>
      <c r="Y233" s="234"/>
      <c r="Z233" s="220"/>
      <c r="AA233" s="218"/>
      <c r="AB233" s="254"/>
      <c r="AC233" s="218"/>
      <c r="AD233" s="218"/>
      <c r="AE233" s="234"/>
      <c r="AF233" s="249"/>
      <c r="AG233" s="249"/>
      <c r="AH233" s="249"/>
      <c r="AI233" s="249"/>
      <c r="AJ233" s="249"/>
      <c r="AK233" s="249"/>
    </row>
    <row r="234" spans="2:37" x14ac:dyDescent="0.2">
      <c r="B234" s="214" t="s">
        <v>489</v>
      </c>
      <c r="C234" s="214" t="s">
        <v>430</v>
      </c>
      <c r="D234" s="232" t="s">
        <v>500</v>
      </c>
      <c r="E234" s="216" t="s">
        <v>199</v>
      </c>
      <c r="F234" s="216" t="s">
        <v>251</v>
      </c>
      <c r="G234" s="270">
        <v>1</v>
      </c>
      <c r="H234" s="242">
        <f>19636213*2</f>
        <v>39272426</v>
      </c>
      <c r="I234" s="220"/>
      <c r="J234" s="225"/>
      <c r="K234" s="218"/>
      <c r="L234" s="218"/>
      <c r="M234" s="234"/>
      <c r="N234" s="225"/>
      <c r="O234" s="225"/>
      <c r="P234" s="254"/>
      <c r="Q234" s="234"/>
      <c r="R234" s="225"/>
      <c r="S234" s="225"/>
      <c r="T234" s="225"/>
      <c r="U234" s="234"/>
      <c r="V234" s="218"/>
      <c r="W234" s="218"/>
      <c r="X234" s="218"/>
      <c r="Y234" s="234"/>
      <c r="Z234" s="218"/>
      <c r="AA234" s="218"/>
      <c r="AB234" s="254"/>
      <c r="AC234" s="220"/>
      <c r="AD234" s="218"/>
      <c r="AE234" s="234"/>
      <c r="AF234" s="250"/>
      <c r="AG234" s="250"/>
      <c r="AH234" s="250"/>
      <c r="AI234" s="250"/>
      <c r="AJ234" s="250"/>
      <c r="AK234" s="250"/>
    </row>
    <row r="235" spans="2:37" x14ac:dyDescent="0.2">
      <c r="B235" s="214" t="s">
        <v>489</v>
      </c>
      <c r="C235" s="214" t="s">
        <v>430</v>
      </c>
      <c r="D235" s="232" t="s">
        <v>501</v>
      </c>
      <c r="E235" s="216" t="s">
        <v>527</v>
      </c>
      <c r="F235" s="216" t="s">
        <v>251</v>
      </c>
      <c r="G235" s="270">
        <v>1</v>
      </c>
      <c r="H235" s="242">
        <v>64495000</v>
      </c>
      <c r="I235" s="220"/>
      <c r="J235" s="225"/>
      <c r="K235" s="218"/>
      <c r="L235" s="218"/>
      <c r="M235" s="234"/>
      <c r="N235" s="234"/>
      <c r="O235" s="225"/>
      <c r="P235" s="254"/>
      <c r="Q235" s="234"/>
      <c r="R235" s="225"/>
      <c r="S235" s="225"/>
      <c r="T235" s="225"/>
      <c r="U235" s="234"/>
      <c r="V235" s="218"/>
      <c r="W235" s="218"/>
      <c r="X235" s="218"/>
      <c r="Y235" s="234"/>
      <c r="Z235" s="218"/>
      <c r="AA235" s="218"/>
      <c r="AB235" s="262"/>
      <c r="AC235" s="218"/>
      <c r="AD235" s="218"/>
      <c r="AE235" s="234"/>
      <c r="AF235" s="249"/>
      <c r="AG235" s="249"/>
      <c r="AH235" s="249"/>
      <c r="AI235" s="249"/>
      <c r="AJ235" s="249"/>
      <c r="AK235" s="249"/>
    </row>
    <row r="236" spans="2:37" ht="18" customHeight="1" x14ac:dyDescent="0.2">
      <c r="B236" s="214" t="s">
        <v>489</v>
      </c>
      <c r="C236" s="214" t="s">
        <v>430</v>
      </c>
      <c r="D236" s="232" t="s">
        <v>502</v>
      </c>
      <c r="E236" s="216" t="s">
        <v>527</v>
      </c>
      <c r="F236" s="216" t="s">
        <v>251</v>
      </c>
      <c r="G236" s="270">
        <v>1</v>
      </c>
      <c r="H236" s="265">
        <f>30779368*2</f>
        <v>61558736</v>
      </c>
      <c r="I236" s="266"/>
      <c r="J236" s="225"/>
      <c r="K236" s="218"/>
      <c r="L236" s="218"/>
      <c r="M236" s="234"/>
      <c r="N236" s="225"/>
      <c r="O236" s="225"/>
      <c r="P236" s="254"/>
      <c r="Q236" s="234"/>
      <c r="R236" s="225"/>
      <c r="S236" s="225"/>
      <c r="T236" s="225"/>
      <c r="U236" s="234"/>
      <c r="V236" s="218"/>
      <c r="W236" s="218"/>
      <c r="X236" s="218"/>
      <c r="Y236" s="234"/>
      <c r="Z236" s="218"/>
      <c r="AA236" s="218"/>
      <c r="AB236" s="262"/>
      <c r="AC236" s="218"/>
      <c r="AD236" s="218"/>
      <c r="AE236" s="234"/>
      <c r="AF236" s="250"/>
      <c r="AG236" s="250"/>
      <c r="AH236" s="250"/>
      <c r="AI236" s="250"/>
      <c r="AJ236" s="250"/>
      <c r="AK236" s="250"/>
    </row>
    <row r="237" spans="2:37" ht="18" customHeight="1" x14ac:dyDescent="0.2">
      <c r="B237" s="214" t="s">
        <v>489</v>
      </c>
      <c r="C237" s="214" t="s">
        <v>430</v>
      </c>
      <c r="D237" s="232" t="s">
        <v>569</v>
      </c>
      <c r="E237" s="216" t="s">
        <v>527</v>
      </c>
      <c r="F237" s="216" t="s">
        <v>251</v>
      </c>
      <c r="G237" s="270">
        <v>1</v>
      </c>
      <c r="H237" s="265">
        <v>86633058</v>
      </c>
      <c r="I237" s="266"/>
      <c r="J237" s="225"/>
      <c r="K237" s="218"/>
      <c r="L237" s="218"/>
      <c r="M237" s="234"/>
      <c r="N237" s="225"/>
      <c r="O237" s="225"/>
      <c r="P237" s="234"/>
      <c r="Q237" s="234"/>
      <c r="R237" s="225"/>
      <c r="S237" s="225"/>
      <c r="T237" s="225"/>
      <c r="U237" s="234"/>
      <c r="V237" s="218"/>
      <c r="W237" s="218"/>
      <c r="X237" s="218"/>
      <c r="Y237" s="234"/>
      <c r="Z237" s="218"/>
      <c r="AA237" s="218"/>
      <c r="AB237" s="262"/>
      <c r="AC237" s="218"/>
      <c r="AD237" s="218"/>
      <c r="AE237" s="234"/>
      <c r="AF237" s="249"/>
      <c r="AG237" s="249"/>
      <c r="AH237" s="249"/>
      <c r="AI237" s="249"/>
      <c r="AJ237" s="249"/>
      <c r="AK237" s="249"/>
    </row>
    <row r="238" spans="2:37" x14ac:dyDescent="0.2">
      <c r="B238" s="214" t="s">
        <v>489</v>
      </c>
      <c r="C238" s="214" t="s">
        <v>430</v>
      </c>
      <c r="D238" s="232" t="s">
        <v>503</v>
      </c>
      <c r="E238" s="216" t="s">
        <v>199</v>
      </c>
      <c r="F238" s="216" t="s">
        <v>251</v>
      </c>
      <c r="G238" s="270">
        <v>1</v>
      </c>
      <c r="H238" s="242">
        <v>23431340</v>
      </c>
      <c r="I238" s="220"/>
      <c r="J238" s="225"/>
      <c r="K238" s="218"/>
      <c r="L238" s="218"/>
      <c r="M238" s="234"/>
      <c r="N238" s="225"/>
      <c r="O238" s="225"/>
      <c r="P238" s="234"/>
      <c r="Q238" s="234"/>
      <c r="R238" s="225"/>
      <c r="S238" s="225"/>
      <c r="T238" s="225"/>
      <c r="U238" s="234"/>
      <c r="V238" s="218"/>
      <c r="W238" s="218"/>
      <c r="X238" s="218"/>
      <c r="Y238" s="234"/>
      <c r="Z238" s="218"/>
      <c r="AA238" s="218"/>
      <c r="AB238" s="225"/>
      <c r="AC238" s="218"/>
      <c r="AD238" s="218"/>
      <c r="AE238" s="234"/>
      <c r="AF238" s="249"/>
      <c r="AG238" s="249"/>
      <c r="AH238" s="249"/>
      <c r="AI238" s="249"/>
      <c r="AJ238" s="249"/>
      <c r="AK238" s="249"/>
    </row>
    <row r="239" spans="2:37" x14ac:dyDescent="0.2">
      <c r="B239" s="214" t="s">
        <v>489</v>
      </c>
      <c r="C239" s="214" t="s">
        <v>430</v>
      </c>
      <c r="D239" s="232" t="s">
        <v>504</v>
      </c>
      <c r="E239" s="216" t="s">
        <v>199</v>
      </c>
      <c r="F239" s="216" t="s">
        <v>251</v>
      </c>
      <c r="G239" s="270">
        <v>1</v>
      </c>
      <c r="H239" s="265">
        <v>57780300</v>
      </c>
      <c r="I239" s="266"/>
      <c r="J239" s="225"/>
      <c r="K239" s="218"/>
      <c r="L239" s="218"/>
      <c r="M239" s="234"/>
      <c r="N239" s="225"/>
      <c r="O239" s="225"/>
      <c r="P239" s="234"/>
      <c r="Q239" s="234"/>
      <c r="R239" s="225"/>
      <c r="S239" s="225"/>
      <c r="T239" s="225"/>
      <c r="U239" s="234"/>
      <c r="V239" s="218"/>
      <c r="W239" s="218"/>
      <c r="X239" s="218"/>
      <c r="Y239" s="234"/>
      <c r="Z239" s="218"/>
      <c r="AA239" s="218"/>
      <c r="AB239" s="225"/>
      <c r="AC239" s="218"/>
      <c r="AD239" s="218"/>
      <c r="AE239" s="234"/>
      <c r="AF239" s="249"/>
      <c r="AG239" s="249"/>
      <c r="AH239" s="249"/>
      <c r="AI239" s="249"/>
      <c r="AJ239" s="249"/>
      <c r="AK239" s="249"/>
    </row>
    <row r="240" spans="2:37" x14ac:dyDescent="0.2">
      <c r="B240" s="214" t="s">
        <v>489</v>
      </c>
      <c r="C240" s="214" t="s">
        <v>430</v>
      </c>
      <c r="D240" s="232" t="s">
        <v>505</v>
      </c>
      <c r="E240" s="216" t="s">
        <v>527</v>
      </c>
      <c r="F240" s="216" t="s">
        <v>251</v>
      </c>
      <c r="G240" s="270">
        <v>1</v>
      </c>
      <c r="H240" s="265">
        <v>49850000</v>
      </c>
      <c r="I240" s="266"/>
      <c r="J240" s="225"/>
      <c r="K240" s="218"/>
      <c r="L240" s="218"/>
      <c r="M240" s="234"/>
      <c r="N240" s="225"/>
      <c r="O240" s="225"/>
      <c r="P240" s="234"/>
      <c r="Q240" s="234"/>
      <c r="R240" s="225"/>
      <c r="S240" s="225"/>
      <c r="T240" s="225"/>
      <c r="U240" s="234"/>
      <c r="V240" s="218"/>
      <c r="W240" s="218"/>
      <c r="X240" s="218"/>
      <c r="Y240" s="234"/>
      <c r="Z240" s="218"/>
      <c r="AA240" s="218"/>
      <c r="AB240" s="225"/>
      <c r="AC240" s="218"/>
      <c r="AD240" s="218"/>
      <c r="AE240" s="234"/>
      <c r="AF240" s="250"/>
      <c r="AG240" s="250"/>
      <c r="AH240" s="250"/>
      <c r="AI240" s="250"/>
      <c r="AJ240" s="250"/>
      <c r="AK240" s="250"/>
    </row>
    <row r="241" spans="2:37" ht="12" customHeight="1" x14ac:dyDescent="0.2">
      <c r="B241" s="214" t="s">
        <v>489</v>
      </c>
      <c r="C241" s="214" t="s">
        <v>430</v>
      </c>
      <c r="D241" s="232" t="s">
        <v>558</v>
      </c>
      <c r="E241" s="216" t="s">
        <v>199</v>
      </c>
      <c r="F241" s="216" t="s">
        <v>251</v>
      </c>
      <c r="G241" s="270">
        <v>1</v>
      </c>
      <c r="H241" s="265">
        <v>55327328</v>
      </c>
      <c r="I241" s="266"/>
      <c r="J241" s="225"/>
      <c r="K241" s="218"/>
      <c r="L241" s="218"/>
      <c r="M241" s="234"/>
      <c r="N241" s="234"/>
      <c r="O241" s="234"/>
      <c r="P241" s="234"/>
      <c r="Q241" s="234"/>
      <c r="R241" s="234"/>
      <c r="S241" s="234"/>
      <c r="T241" s="234"/>
      <c r="U241" s="234"/>
      <c r="V241" s="218"/>
      <c r="W241" s="218"/>
      <c r="X241" s="218"/>
      <c r="Y241" s="234"/>
      <c r="Z241" s="220"/>
      <c r="AA241" s="220"/>
      <c r="AB241" s="234"/>
      <c r="AC241" s="218"/>
      <c r="AD241" s="218"/>
      <c r="AE241" s="234"/>
      <c r="AF241" s="249"/>
      <c r="AG241" s="249"/>
      <c r="AH241" s="249"/>
      <c r="AI241" s="249"/>
      <c r="AJ241" s="249"/>
      <c r="AK241" s="249"/>
    </row>
    <row r="242" spans="2:37" ht="12" customHeight="1" x14ac:dyDescent="0.2">
      <c r="B242" s="214" t="s">
        <v>489</v>
      </c>
      <c r="C242" s="214" t="s">
        <v>430</v>
      </c>
      <c r="D242" s="232" t="s">
        <v>559</v>
      </c>
      <c r="E242" s="216" t="s">
        <v>199</v>
      </c>
      <c r="F242" s="216" t="s">
        <v>251</v>
      </c>
      <c r="G242" s="270">
        <v>1</v>
      </c>
      <c r="H242" s="265">
        <v>41506035</v>
      </c>
      <c r="I242" s="266"/>
      <c r="J242" s="225"/>
      <c r="K242" s="218"/>
      <c r="L242" s="218"/>
      <c r="M242" s="234"/>
      <c r="N242" s="225"/>
      <c r="O242" s="225"/>
      <c r="P242" s="234"/>
      <c r="Q242" s="234"/>
      <c r="R242" s="225"/>
      <c r="S242" s="225"/>
      <c r="T242" s="225"/>
      <c r="U242" s="234"/>
      <c r="V242" s="218"/>
      <c r="W242" s="218"/>
      <c r="X242" s="218"/>
      <c r="Y242" s="234"/>
      <c r="Z242" s="218"/>
      <c r="AA242" s="218"/>
      <c r="AB242" s="225"/>
      <c r="AC242" s="220"/>
      <c r="AD242" s="220"/>
      <c r="AE242" s="234"/>
      <c r="AF242" s="250"/>
      <c r="AG242" s="250"/>
      <c r="AH242" s="250"/>
      <c r="AI242" s="250"/>
      <c r="AJ242" s="250"/>
      <c r="AK242" s="250"/>
    </row>
    <row r="243" spans="2:37" x14ac:dyDescent="0.2">
      <c r="B243" s="214" t="s">
        <v>489</v>
      </c>
      <c r="C243" s="214" t="s">
        <v>430</v>
      </c>
      <c r="D243" s="232" t="s">
        <v>506</v>
      </c>
      <c r="E243" s="216" t="s">
        <v>552</v>
      </c>
      <c r="F243" s="216" t="s">
        <v>251</v>
      </c>
      <c r="G243" s="270">
        <v>1</v>
      </c>
      <c r="H243" s="265">
        <v>69000000</v>
      </c>
      <c r="I243" s="266"/>
      <c r="J243" s="225"/>
      <c r="K243" s="218"/>
      <c r="L243" s="218"/>
      <c r="M243" s="234"/>
      <c r="N243" s="225"/>
      <c r="O243" s="225"/>
      <c r="P243" s="234"/>
      <c r="Q243" s="234"/>
      <c r="R243" s="225"/>
      <c r="S243" s="225"/>
      <c r="T243" s="225"/>
      <c r="U243" s="234"/>
      <c r="V243" s="218"/>
      <c r="W243" s="218"/>
      <c r="X243" s="218"/>
      <c r="Y243" s="234"/>
      <c r="Z243" s="218"/>
      <c r="AA243" s="218"/>
      <c r="AB243" s="225"/>
      <c r="AC243" s="218"/>
      <c r="AD243" s="218"/>
      <c r="AE243" s="234"/>
      <c r="AF243" s="249"/>
      <c r="AG243" s="249"/>
      <c r="AH243" s="249"/>
      <c r="AI243" s="249"/>
      <c r="AJ243" s="249"/>
      <c r="AK243" s="249"/>
    </row>
    <row r="244" spans="2:37" x14ac:dyDescent="0.2">
      <c r="B244" s="214" t="s">
        <v>489</v>
      </c>
      <c r="C244" s="214" t="s">
        <v>430</v>
      </c>
      <c r="D244" s="232" t="s">
        <v>507</v>
      </c>
      <c r="E244" s="216" t="s">
        <v>199</v>
      </c>
      <c r="F244" s="216" t="s">
        <v>251</v>
      </c>
      <c r="G244" s="270">
        <v>1</v>
      </c>
      <c r="H244" s="265">
        <v>105200000</v>
      </c>
      <c r="I244" s="266"/>
      <c r="J244" s="225"/>
      <c r="K244" s="218"/>
      <c r="L244" s="218"/>
      <c r="M244" s="234"/>
      <c r="N244" s="225"/>
      <c r="O244" s="225"/>
      <c r="P244" s="234"/>
      <c r="Q244" s="234"/>
      <c r="R244" s="225"/>
      <c r="S244" s="225"/>
      <c r="T244" s="225"/>
      <c r="U244" s="234"/>
      <c r="V244" s="218"/>
      <c r="W244" s="218"/>
      <c r="X244" s="218"/>
      <c r="Y244" s="234"/>
      <c r="Z244" s="218"/>
      <c r="AA244" s="218"/>
      <c r="AB244" s="225"/>
      <c r="AC244" s="218"/>
      <c r="AD244" s="218"/>
      <c r="AE244" s="234"/>
      <c r="AF244" s="249"/>
      <c r="AG244" s="249"/>
      <c r="AH244" s="249"/>
      <c r="AI244" s="249"/>
      <c r="AJ244" s="249"/>
      <c r="AK244" s="249"/>
    </row>
    <row r="245" spans="2:37" x14ac:dyDescent="0.2">
      <c r="B245" s="214" t="s">
        <v>489</v>
      </c>
      <c r="C245" s="214" t="s">
        <v>430</v>
      </c>
      <c r="D245" s="232" t="s">
        <v>508</v>
      </c>
      <c r="E245" s="216" t="s">
        <v>533</v>
      </c>
      <c r="F245" s="216" t="s">
        <v>251</v>
      </c>
      <c r="G245" s="270">
        <v>1</v>
      </c>
      <c r="H245" s="265">
        <v>69248241</v>
      </c>
      <c r="I245" s="266"/>
      <c r="J245" s="225"/>
      <c r="K245" s="218"/>
      <c r="L245" s="218"/>
      <c r="M245" s="234"/>
      <c r="N245" s="225"/>
      <c r="O245" s="225"/>
      <c r="P245" s="234"/>
      <c r="Q245" s="234"/>
      <c r="R245" s="225"/>
      <c r="S245" s="225"/>
      <c r="T245" s="225"/>
      <c r="U245" s="234"/>
      <c r="V245" s="218"/>
      <c r="W245" s="218"/>
      <c r="X245" s="218"/>
      <c r="Y245" s="234"/>
      <c r="Z245" s="218"/>
      <c r="AA245" s="218"/>
      <c r="AB245" s="225"/>
      <c r="AC245" s="218"/>
      <c r="AD245" s="218"/>
      <c r="AE245" s="234"/>
      <c r="AF245" s="249"/>
      <c r="AG245" s="249"/>
      <c r="AH245" s="249"/>
      <c r="AI245" s="249"/>
      <c r="AJ245" s="249"/>
      <c r="AK245" s="249"/>
    </row>
    <row r="246" spans="2:37" ht="16.5" customHeight="1" x14ac:dyDescent="0.2">
      <c r="B246" s="214" t="s">
        <v>489</v>
      </c>
      <c r="C246" s="214" t="s">
        <v>430</v>
      </c>
      <c r="D246" s="244" t="s">
        <v>509</v>
      </c>
      <c r="E246" s="216" t="s">
        <v>199</v>
      </c>
      <c r="F246" s="216" t="s">
        <v>251</v>
      </c>
      <c r="G246" s="270">
        <v>1</v>
      </c>
      <c r="H246" s="265">
        <f>24632922*2</f>
        <v>49265844</v>
      </c>
      <c r="I246" s="266"/>
      <c r="J246" s="225"/>
      <c r="K246" s="218"/>
      <c r="L246" s="218"/>
      <c r="M246" s="234"/>
      <c r="N246" s="225"/>
      <c r="O246" s="225"/>
      <c r="P246" s="234"/>
      <c r="Q246" s="234"/>
      <c r="R246" s="225"/>
      <c r="S246" s="225"/>
      <c r="T246" s="225"/>
      <c r="U246" s="234"/>
      <c r="V246" s="218"/>
      <c r="W246" s="218"/>
      <c r="X246" s="218"/>
      <c r="Y246" s="234"/>
      <c r="Z246" s="218"/>
      <c r="AA246" s="218"/>
      <c r="AB246" s="225"/>
      <c r="AC246" s="218"/>
      <c r="AD246" s="218"/>
      <c r="AE246" s="234"/>
      <c r="AF246" s="249"/>
      <c r="AG246" s="249"/>
      <c r="AH246" s="249"/>
      <c r="AI246" s="249"/>
      <c r="AJ246" s="249"/>
      <c r="AK246" s="249"/>
    </row>
    <row r="247" spans="2:37" x14ac:dyDescent="0.2">
      <c r="B247" s="214" t="s">
        <v>489</v>
      </c>
      <c r="C247" s="214" t="s">
        <v>430</v>
      </c>
      <c r="D247" s="232" t="s">
        <v>510</v>
      </c>
      <c r="E247" s="216" t="s">
        <v>199</v>
      </c>
      <c r="F247" s="216" t="s">
        <v>251</v>
      </c>
      <c r="G247" s="270">
        <v>1</v>
      </c>
      <c r="H247" s="265">
        <f>22220423*2</f>
        <v>44440846</v>
      </c>
      <c r="I247" s="266"/>
      <c r="J247" s="225"/>
      <c r="K247" s="218"/>
      <c r="L247" s="218"/>
      <c r="M247" s="234"/>
      <c r="N247" s="225"/>
      <c r="O247" s="225"/>
      <c r="P247" s="234"/>
      <c r="Q247" s="234"/>
      <c r="R247" s="225"/>
      <c r="S247" s="225"/>
      <c r="T247" s="225"/>
      <c r="U247" s="234"/>
      <c r="V247" s="218"/>
      <c r="W247" s="218"/>
      <c r="X247" s="218"/>
      <c r="Y247" s="234"/>
      <c r="Z247" s="218"/>
      <c r="AA247" s="218"/>
      <c r="AB247" s="225"/>
      <c r="AC247" s="218"/>
      <c r="AD247" s="218"/>
      <c r="AE247" s="234"/>
      <c r="AF247" s="249"/>
      <c r="AG247" s="249"/>
      <c r="AH247" s="249"/>
      <c r="AI247" s="249"/>
      <c r="AJ247" s="249"/>
      <c r="AK247" s="249"/>
    </row>
    <row r="248" spans="2:37" x14ac:dyDescent="0.2">
      <c r="B248" s="214" t="s">
        <v>489</v>
      </c>
      <c r="C248" s="214" t="s">
        <v>430</v>
      </c>
      <c r="D248" s="232" t="s">
        <v>560</v>
      </c>
      <c r="E248" s="216" t="s">
        <v>199</v>
      </c>
      <c r="F248" s="216" t="s">
        <v>251</v>
      </c>
      <c r="G248" s="270">
        <v>1</v>
      </c>
      <c r="H248" s="265">
        <f>22218915*2</f>
        <v>44437830</v>
      </c>
      <c r="I248" s="266"/>
      <c r="J248" s="225"/>
      <c r="K248" s="218"/>
      <c r="L248" s="218"/>
      <c r="M248" s="234"/>
      <c r="N248" s="225"/>
      <c r="O248" s="225"/>
      <c r="P248" s="234"/>
      <c r="Q248" s="234"/>
      <c r="R248" s="225"/>
      <c r="S248" s="225"/>
      <c r="T248" s="225"/>
      <c r="U248" s="234"/>
      <c r="V248" s="218"/>
      <c r="W248" s="218"/>
      <c r="X248" s="218"/>
      <c r="Y248" s="234"/>
      <c r="Z248" s="218"/>
      <c r="AA248" s="218"/>
      <c r="AB248" s="225"/>
      <c r="AC248" s="218"/>
      <c r="AD248" s="218"/>
      <c r="AE248" s="234"/>
      <c r="AF248" s="249"/>
      <c r="AG248" s="249"/>
      <c r="AH248" s="249"/>
      <c r="AI248" s="249"/>
      <c r="AJ248" s="249"/>
      <c r="AK248" s="249"/>
    </row>
    <row r="249" spans="2:37" x14ac:dyDescent="0.2">
      <c r="B249" s="214" t="s">
        <v>489</v>
      </c>
      <c r="C249" s="214" t="s">
        <v>430</v>
      </c>
      <c r="D249" s="232" t="s">
        <v>511</v>
      </c>
      <c r="E249" s="216" t="s">
        <v>527</v>
      </c>
      <c r="F249" s="216" t="s">
        <v>251</v>
      </c>
      <c r="G249" s="270">
        <v>1</v>
      </c>
      <c r="H249" s="265">
        <f>23018686*2</f>
        <v>46037372</v>
      </c>
      <c r="I249" s="266"/>
      <c r="J249" s="225"/>
      <c r="K249" s="218"/>
      <c r="L249" s="218"/>
      <c r="M249" s="234"/>
      <c r="N249" s="225"/>
      <c r="O249" s="225"/>
      <c r="P249" s="234"/>
      <c r="Q249" s="234"/>
      <c r="R249" s="225"/>
      <c r="S249" s="225"/>
      <c r="T249" s="225"/>
      <c r="U249" s="234"/>
      <c r="V249" s="218"/>
      <c r="W249" s="218"/>
      <c r="X249" s="218"/>
      <c r="Y249" s="234"/>
      <c r="Z249" s="218"/>
      <c r="AA249" s="218"/>
      <c r="AB249" s="225"/>
      <c r="AC249" s="218"/>
      <c r="AD249" s="218"/>
      <c r="AE249" s="234"/>
      <c r="AF249" s="250"/>
      <c r="AG249" s="250"/>
      <c r="AH249" s="250"/>
      <c r="AI249" s="250"/>
      <c r="AJ249" s="250"/>
      <c r="AK249" s="250"/>
    </row>
    <row r="250" spans="2:37" x14ac:dyDescent="0.2">
      <c r="B250" s="214" t="s">
        <v>489</v>
      </c>
      <c r="C250" s="214" t="s">
        <v>430</v>
      </c>
      <c r="D250" s="232" t="s">
        <v>561</v>
      </c>
      <c r="E250" s="216" t="s">
        <v>527</v>
      </c>
      <c r="F250" s="216" t="s">
        <v>251</v>
      </c>
      <c r="G250" s="270">
        <v>1</v>
      </c>
      <c r="H250" s="265">
        <v>37000000</v>
      </c>
      <c r="I250" s="266"/>
      <c r="J250" s="225"/>
      <c r="K250" s="218"/>
      <c r="L250" s="218"/>
      <c r="M250" s="234"/>
      <c r="N250" s="225"/>
      <c r="O250" s="225"/>
      <c r="P250" s="234"/>
      <c r="Q250" s="234"/>
      <c r="R250" s="225"/>
      <c r="S250" s="225"/>
      <c r="T250" s="225"/>
      <c r="U250" s="234"/>
      <c r="V250" s="218"/>
      <c r="W250" s="218"/>
      <c r="X250" s="218"/>
      <c r="Y250" s="234"/>
      <c r="Z250" s="218"/>
      <c r="AA250" s="218"/>
      <c r="AB250" s="225"/>
      <c r="AC250" s="218"/>
      <c r="AD250" s="218"/>
      <c r="AE250" s="234"/>
      <c r="AF250" s="249"/>
      <c r="AG250" s="249"/>
      <c r="AH250" s="249"/>
      <c r="AI250" s="249"/>
      <c r="AJ250" s="249"/>
      <c r="AK250" s="249"/>
    </row>
    <row r="251" spans="2:37" x14ac:dyDescent="0.2">
      <c r="B251" s="214" t="s">
        <v>489</v>
      </c>
      <c r="C251" s="214" t="s">
        <v>430</v>
      </c>
      <c r="D251" s="232" t="s">
        <v>512</v>
      </c>
      <c r="E251" s="216" t="s">
        <v>552</v>
      </c>
      <c r="F251" s="216" t="s">
        <v>251</v>
      </c>
      <c r="G251" s="270">
        <v>1</v>
      </c>
      <c r="H251" s="265">
        <f>17658435*2</f>
        <v>35316870</v>
      </c>
      <c r="I251" s="266"/>
      <c r="J251" s="225"/>
      <c r="K251" s="218"/>
      <c r="L251" s="218"/>
      <c r="M251" s="234"/>
      <c r="N251" s="225"/>
      <c r="O251" s="225"/>
      <c r="P251" s="234"/>
      <c r="Q251" s="234"/>
      <c r="R251" s="225"/>
      <c r="S251" s="225"/>
      <c r="T251" s="225"/>
      <c r="U251" s="234"/>
      <c r="V251" s="218"/>
      <c r="W251" s="218"/>
      <c r="X251" s="218"/>
      <c r="Y251" s="234"/>
      <c r="Z251" s="218"/>
      <c r="AA251" s="218"/>
      <c r="AB251" s="225"/>
      <c r="AC251" s="218"/>
      <c r="AD251" s="218"/>
      <c r="AE251" s="234"/>
      <c r="AF251" s="250"/>
      <c r="AG251" s="250"/>
      <c r="AH251" s="250"/>
      <c r="AI251" s="250"/>
      <c r="AJ251" s="250"/>
      <c r="AK251" s="250"/>
    </row>
    <row r="252" spans="2:37" x14ac:dyDescent="0.2">
      <c r="B252" s="214" t="s">
        <v>489</v>
      </c>
      <c r="C252" s="214" t="s">
        <v>430</v>
      </c>
      <c r="D252" s="232" t="s">
        <v>513</v>
      </c>
      <c r="E252" s="216" t="s">
        <v>552</v>
      </c>
      <c r="F252" s="216" t="s">
        <v>251</v>
      </c>
      <c r="G252" s="270">
        <v>1</v>
      </c>
      <c r="H252" s="265">
        <v>8137244</v>
      </c>
      <c r="I252" s="266"/>
      <c r="J252" s="225"/>
      <c r="K252" s="218"/>
      <c r="L252" s="218"/>
      <c r="M252" s="234"/>
      <c r="N252" s="225"/>
      <c r="O252" s="225"/>
      <c r="P252" s="234"/>
      <c r="Q252" s="234"/>
      <c r="R252" s="225"/>
      <c r="S252" s="225"/>
      <c r="T252" s="225"/>
      <c r="U252" s="234"/>
      <c r="V252" s="218"/>
      <c r="W252" s="218"/>
      <c r="X252" s="218"/>
      <c r="Y252" s="234"/>
      <c r="Z252" s="218"/>
      <c r="AA252" s="218"/>
      <c r="AB252" s="234"/>
      <c r="AC252" s="218"/>
      <c r="AD252" s="218"/>
      <c r="AE252" s="234"/>
      <c r="AF252" s="249"/>
      <c r="AG252" s="249"/>
      <c r="AH252" s="249"/>
      <c r="AI252" s="249"/>
      <c r="AJ252" s="249"/>
      <c r="AK252" s="249"/>
    </row>
    <row r="253" spans="2:37" x14ac:dyDescent="0.2">
      <c r="B253" s="214" t="s">
        <v>489</v>
      </c>
      <c r="C253" s="214" t="s">
        <v>430</v>
      </c>
      <c r="D253" s="232" t="s">
        <v>514</v>
      </c>
      <c r="E253" s="216" t="s">
        <v>199</v>
      </c>
      <c r="F253" s="216" t="s">
        <v>251</v>
      </c>
      <c r="G253" s="270">
        <v>1</v>
      </c>
      <c r="H253" s="265">
        <f>23075044*2</f>
        <v>46150088</v>
      </c>
      <c r="I253" s="266"/>
      <c r="J253" s="225"/>
      <c r="K253" s="218"/>
      <c r="L253" s="218"/>
      <c r="M253" s="234"/>
      <c r="N253" s="225"/>
      <c r="O253" s="225"/>
      <c r="P253" s="234"/>
      <c r="Q253" s="234"/>
      <c r="R253" s="225"/>
      <c r="S253" s="225"/>
      <c r="T253" s="225"/>
      <c r="U253" s="234"/>
      <c r="V253" s="218"/>
      <c r="W253" s="218"/>
      <c r="X253" s="218"/>
      <c r="Y253" s="234"/>
      <c r="Z253" s="218"/>
      <c r="AA253" s="218"/>
      <c r="AB253" s="225"/>
      <c r="AC253" s="218"/>
      <c r="AD253" s="218"/>
      <c r="AE253" s="234"/>
      <c r="AF253" s="250"/>
      <c r="AG253" s="250"/>
      <c r="AH253" s="250"/>
      <c r="AI253" s="250"/>
      <c r="AJ253" s="250"/>
      <c r="AK253" s="250"/>
    </row>
    <row r="254" spans="2:37" ht="15" customHeight="1" x14ac:dyDescent="0.2">
      <c r="B254" s="214" t="s">
        <v>489</v>
      </c>
      <c r="C254" s="214" t="s">
        <v>430</v>
      </c>
      <c r="D254" s="232" t="s">
        <v>515</v>
      </c>
      <c r="E254" s="216" t="s">
        <v>527</v>
      </c>
      <c r="F254" s="216" t="s">
        <v>251</v>
      </c>
      <c r="G254" s="270">
        <v>1</v>
      </c>
      <c r="H254" s="265">
        <f>375463*2</f>
        <v>750926</v>
      </c>
      <c r="I254" s="266"/>
      <c r="J254" s="225"/>
      <c r="K254" s="218"/>
      <c r="L254" s="218"/>
      <c r="M254" s="234"/>
      <c r="N254" s="225"/>
      <c r="O254" s="225"/>
      <c r="P254" s="234"/>
      <c r="Q254" s="234"/>
      <c r="R254" s="234"/>
      <c r="S254" s="225"/>
      <c r="T254" s="225"/>
      <c r="U254" s="234"/>
      <c r="V254" s="218"/>
      <c r="W254" s="218"/>
      <c r="X254" s="218"/>
      <c r="Y254" s="234"/>
      <c r="Z254" s="218"/>
      <c r="AA254" s="218"/>
      <c r="AB254" s="225"/>
      <c r="AC254" s="218"/>
      <c r="AD254" s="218"/>
      <c r="AE254" s="234"/>
      <c r="AF254" s="250"/>
      <c r="AG254" s="250"/>
      <c r="AH254" s="250"/>
      <c r="AI254" s="250"/>
      <c r="AJ254" s="250"/>
      <c r="AK254" s="250"/>
    </row>
    <row r="255" spans="2:37" ht="14.25" customHeight="1" x14ac:dyDescent="0.2">
      <c r="B255" s="214" t="s">
        <v>489</v>
      </c>
      <c r="C255" s="214" t="s">
        <v>430</v>
      </c>
      <c r="D255" s="232" t="s">
        <v>516</v>
      </c>
      <c r="E255" s="216" t="s">
        <v>552</v>
      </c>
      <c r="F255" s="216" t="s">
        <v>251</v>
      </c>
      <c r="G255" s="270">
        <v>1</v>
      </c>
      <c r="H255" s="265">
        <f>10519247*2</f>
        <v>21038494</v>
      </c>
      <c r="I255" s="266"/>
      <c r="J255" s="225"/>
      <c r="K255" s="218"/>
      <c r="L255" s="218"/>
      <c r="M255" s="234"/>
      <c r="N255" s="225"/>
      <c r="O255" s="225"/>
      <c r="P255" s="234"/>
      <c r="Q255" s="234"/>
      <c r="R255" s="225"/>
      <c r="S255" s="225"/>
      <c r="T255" s="225"/>
      <c r="U255" s="234"/>
      <c r="V255" s="218"/>
      <c r="W255" s="218"/>
      <c r="X255" s="218"/>
      <c r="Y255" s="234"/>
      <c r="Z255" s="218"/>
      <c r="AA255" s="218"/>
      <c r="AB255" s="225"/>
      <c r="AC255" s="218"/>
      <c r="AD255" s="218"/>
      <c r="AE255" s="234"/>
      <c r="AF255" s="249"/>
      <c r="AG255" s="249"/>
      <c r="AH255" s="249"/>
      <c r="AI255" s="249"/>
      <c r="AJ255" s="249"/>
      <c r="AK255" s="249"/>
    </row>
    <row r="256" spans="2:37" x14ac:dyDescent="0.2">
      <c r="B256" s="214" t="s">
        <v>489</v>
      </c>
      <c r="C256" s="214" t="s">
        <v>430</v>
      </c>
      <c r="D256" s="232" t="s">
        <v>517</v>
      </c>
      <c r="E256" s="216" t="s">
        <v>96</v>
      </c>
      <c r="F256" s="216" t="s">
        <v>251</v>
      </c>
      <c r="G256" s="270">
        <v>1</v>
      </c>
      <c r="H256" s="265">
        <f>1818676*2</f>
        <v>3637352</v>
      </c>
      <c r="I256" s="266"/>
      <c r="J256" s="225"/>
      <c r="K256" s="218"/>
      <c r="L256" s="218"/>
      <c r="M256" s="234"/>
      <c r="N256" s="225"/>
      <c r="O256" s="225"/>
      <c r="P256" s="234"/>
      <c r="Q256" s="234"/>
      <c r="R256" s="225"/>
      <c r="S256" s="225"/>
      <c r="T256" s="225"/>
      <c r="U256" s="234"/>
      <c r="V256" s="218"/>
      <c r="W256" s="218"/>
      <c r="X256" s="218"/>
      <c r="Y256" s="234"/>
      <c r="Z256" s="218"/>
      <c r="AA256" s="218"/>
      <c r="AB256" s="225"/>
      <c r="AC256" s="218"/>
      <c r="AD256" s="218"/>
      <c r="AE256" s="234"/>
      <c r="AF256" s="250"/>
      <c r="AG256" s="234"/>
      <c r="AH256" s="250"/>
      <c r="AI256" s="250"/>
      <c r="AJ256" s="250"/>
      <c r="AK256" s="250"/>
    </row>
    <row r="257" spans="9:37" x14ac:dyDescent="0.2">
      <c r="K257" s="178" t="s">
        <v>518</v>
      </c>
      <c r="M257" s="173"/>
      <c r="N257" s="173"/>
      <c r="O257" s="173"/>
      <c r="P257" s="173"/>
      <c r="Q257" s="173"/>
      <c r="R257" s="173"/>
      <c r="S257" s="173"/>
      <c r="T257" s="173"/>
      <c r="U257" s="173"/>
      <c r="V257" s="173"/>
      <c r="W257" s="173"/>
      <c r="X257" s="173"/>
      <c r="Y257" s="173"/>
      <c r="Z257" s="179"/>
      <c r="AA257" s="173"/>
      <c r="AB257" s="173"/>
      <c r="AC257" s="173"/>
      <c r="AD257" s="173"/>
      <c r="AE257" s="173"/>
      <c r="AF257" s="173"/>
      <c r="AG257" s="173"/>
      <c r="AH257" s="173"/>
      <c r="AI257" s="173"/>
      <c r="AJ257" s="173"/>
      <c r="AK257" s="173"/>
    </row>
    <row r="258" spans="9:37" x14ac:dyDescent="0.2">
      <c r="I258" s="177" t="s">
        <v>0</v>
      </c>
      <c r="K258" s="178"/>
      <c r="M258" s="173"/>
      <c r="N258" s="173"/>
      <c r="O258" s="173"/>
      <c r="P258" s="173"/>
      <c r="Q258" s="173"/>
      <c r="R258" s="173"/>
      <c r="S258" s="173"/>
      <c r="T258" s="173"/>
      <c r="U258" s="173"/>
      <c r="V258" s="173"/>
      <c r="W258" s="173"/>
      <c r="X258" s="173"/>
      <c r="Y258" s="173"/>
      <c r="Z258" s="179"/>
      <c r="AA258" s="173"/>
      <c r="AB258" s="173"/>
      <c r="AC258" s="173"/>
      <c r="AD258" s="173"/>
      <c r="AE258" s="173"/>
      <c r="AF258" s="173"/>
      <c r="AG258" s="173"/>
      <c r="AH258" s="173"/>
      <c r="AI258" s="173"/>
      <c r="AJ258" s="173"/>
      <c r="AK258" s="173"/>
    </row>
    <row r="259" spans="9:37" x14ac:dyDescent="0.2">
      <c r="K259" s="178"/>
      <c r="M259" s="173"/>
      <c r="N259" s="173"/>
      <c r="O259" s="173"/>
      <c r="P259" s="173"/>
      <c r="Q259" s="173"/>
      <c r="R259" s="173"/>
      <c r="S259" s="173"/>
      <c r="T259" s="173"/>
      <c r="U259" s="173"/>
      <c r="V259" s="173"/>
      <c r="W259" s="173"/>
      <c r="X259" s="173"/>
      <c r="Y259" s="173"/>
      <c r="Z259" s="179"/>
      <c r="AA259" s="173"/>
      <c r="AB259" s="173"/>
      <c r="AC259" s="173"/>
      <c r="AD259" s="173"/>
      <c r="AE259" s="173"/>
      <c r="AF259" s="173"/>
      <c r="AG259" s="173"/>
      <c r="AH259" s="173"/>
      <c r="AI259" s="173"/>
      <c r="AJ259" s="173"/>
      <c r="AK259" s="173"/>
    </row>
    <row r="260" spans="9:37" x14ac:dyDescent="0.2">
      <c r="J260" s="174" t="s">
        <v>6</v>
      </c>
      <c r="K260" s="178"/>
      <c r="M260" s="173"/>
      <c r="N260" s="173"/>
      <c r="O260" s="173"/>
      <c r="P260" s="173"/>
      <c r="Q260" s="173"/>
      <c r="R260" s="173"/>
      <c r="S260" s="173"/>
      <c r="T260" s="173"/>
      <c r="U260" s="173"/>
      <c r="V260" s="173"/>
      <c r="W260" s="173"/>
      <c r="X260" s="173"/>
      <c r="Y260" s="173"/>
      <c r="Z260" s="179"/>
      <c r="AA260" s="173" t="s">
        <v>0</v>
      </c>
      <c r="AB260" s="173"/>
      <c r="AC260" s="173"/>
      <c r="AD260" s="173"/>
      <c r="AE260" s="173"/>
      <c r="AF260" s="173"/>
      <c r="AG260" s="173"/>
      <c r="AH260" s="173"/>
      <c r="AI260" s="173"/>
      <c r="AJ260" s="173"/>
      <c r="AK260" s="173"/>
    </row>
    <row r="261" spans="9:37" x14ac:dyDescent="0.2">
      <c r="K261" s="178"/>
      <c r="M261" s="173"/>
      <c r="N261" s="173"/>
      <c r="O261" s="173"/>
      <c r="P261" s="173"/>
      <c r="Q261" s="173"/>
      <c r="R261" s="173"/>
      <c r="S261" s="173"/>
      <c r="T261" s="173"/>
      <c r="U261" s="173"/>
      <c r="V261" s="173"/>
      <c r="W261" s="173"/>
      <c r="X261" s="173"/>
      <c r="Y261" s="173"/>
      <c r="Z261" s="179"/>
      <c r="AA261" s="173"/>
      <c r="AB261" s="173"/>
      <c r="AC261" s="173"/>
      <c r="AD261" s="173"/>
      <c r="AE261" s="173"/>
      <c r="AF261" s="173"/>
      <c r="AG261" s="173"/>
      <c r="AH261" s="173"/>
      <c r="AI261" s="173"/>
      <c r="AJ261" s="173"/>
      <c r="AK261" s="173"/>
    </row>
    <row r="262" spans="9:37" x14ac:dyDescent="0.2">
      <c r="K262" s="178"/>
      <c r="M262" s="173"/>
      <c r="N262" s="173"/>
      <c r="O262" s="173"/>
      <c r="P262" s="183"/>
      <c r="Q262" s="173"/>
      <c r="R262" s="173"/>
      <c r="S262" s="173"/>
      <c r="T262" s="173"/>
      <c r="U262" s="173"/>
      <c r="V262" s="173"/>
      <c r="W262" s="173" t="s">
        <v>0</v>
      </c>
      <c r="X262" s="173"/>
      <c r="Y262" s="173"/>
      <c r="Z262" s="179"/>
      <c r="AA262" s="173"/>
      <c r="AB262" s="173"/>
      <c r="AC262" s="173"/>
      <c r="AD262" s="173"/>
      <c r="AE262" s="173"/>
      <c r="AF262" s="173"/>
      <c r="AG262" s="173"/>
      <c r="AH262" s="173"/>
      <c r="AI262" s="173"/>
      <c r="AJ262" s="173"/>
      <c r="AK262" s="173"/>
    </row>
    <row r="263" spans="9:37" x14ac:dyDescent="0.2">
      <c r="K263" s="178"/>
      <c r="M263" s="173"/>
      <c r="N263" s="173"/>
      <c r="O263" s="173"/>
      <c r="P263" s="173"/>
      <c r="Q263" s="173"/>
      <c r="R263" s="173"/>
      <c r="S263" s="173"/>
      <c r="T263" s="173"/>
      <c r="U263" s="173"/>
      <c r="V263" s="173"/>
      <c r="W263" s="173"/>
      <c r="X263" s="173"/>
      <c r="Y263" s="173"/>
      <c r="Z263" s="179"/>
      <c r="AA263" s="173"/>
      <c r="AB263" s="173"/>
      <c r="AC263" s="173"/>
      <c r="AD263" s="173"/>
      <c r="AE263" s="173"/>
      <c r="AF263" s="173"/>
      <c r="AG263" s="173"/>
      <c r="AH263" s="173"/>
      <c r="AI263" s="173"/>
      <c r="AJ263" s="173"/>
      <c r="AK263" s="173"/>
    </row>
    <row r="264" spans="9:37" x14ac:dyDescent="0.2">
      <c r="K264" s="178"/>
      <c r="M264" s="173"/>
      <c r="N264" s="173"/>
      <c r="O264" s="173"/>
      <c r="P264" s="173"/>
      <c r="Q264" s="173"/>
      <c r="R264" s="173"/>
      <c r="S264" s="173"/>
      <c r="T264" s="173"/>
      <c r="U264" s="173"/>
      <c r="V264" s="173"/>
      <c r="W264" s="173"/>
      <c r="X264" s="173"/>
      <c r="Y264" s="173"/>
      <c r="Z264" s="179"/>
      <c r="AA264" s="173"/>
      <c r="AB264" s="173"/>
      <c r="AC264" s="173"/>
      <c r="AD264" s="173"/>
      <c r="AE264" s="173"/>
      <c r="AF264" s="173"/>
      <c r="AG264" s="173"/>
      <c r="AH264" s="173"/>
      <c r="AI264" s="173"/>
      <c r="AJ264" s="173"/>
      <c r="AK264" s="173"/>
    </row>
    <row r="265" spans="9:37" x14ac:dyDescent="0.2">
      <c r="K265" s="178"/>
      <c r="M265" s="173"/>
      <c r="N265" s="173"/>
      <c r="O265" s="173"/>
      <c r="P265" s="173"/>
      <c r="Q265" s="173"/>
      <c r="R265" s="173"/>
      <c r="S265" s="173"/>
      <c r="T265" s="173"/>
      <c r="U265" s="173"/>
      <c r="V265" s="173"/>
      <c r="W265" s="173"/>
      <c r="X265" s="173"/>
      <c r="Y265" s="173"/>
      <c r="Z265" s="179"/>
      <c r="AA265" s="173"/>
      <c r="AB265" s="173"/>
      <c r="AC265" s="173"/>
      <c r="AD265" s="173"/>
      <c r="AE265" s="173"/>
      <c r="AF265" s="173"/>
      <c r="AG265" s="173"/>
      <c r="AH265" s="173"/>
      <c r="AI265" s="173"/>
      <c r="AJ265" s="173"/>
      <c r="AK265" s="173"/>
    </row>
    <row r="266" spans="9:37" x14ac:dyDescent="0.2">
      <c r="K266" s="178" t="s">
        <v>0</v>
      </c>
      <c r="M266" s="173"/>
      <c r="N266" s="173"/>
      <c r="O266" s="173"/>
      <c r="P266" s="173"/>
      <c r="Q266" s="173"/>
      <c r="R266" s="173"/>
      <c r="S266" s="173"/>
      <c r="T266" s="173"/>
      <c r="U266" s="173"/>
      <c r="V266" s="173"/>
      <c r="W266" s="173"/>
      <c r="X266" s="173"/>
      <c r="Y266" s="173"/>
      <c r="Z266" s="179"/>
      <c r="AA266" s="173"/>
      <c r="AB266" s="173"/>
      <c r="AC266" s="173"/>
      <c r="AD266" s="173"/>
      <c r="AE266" s="173"/>
      <c r="AF266" s="173"/>
      <c r="AG266" s="173"/>
      <c r="AH266" s="173"/>
      <c r="AI266" s="173"/>
      <c r="AJ266" s="173"/>
      <c r="AK266" s="173"/>
    </row>
    <row r="267" spans="9:37" x14ac:dyDescent="0.2">
      <c r="M267" s="173"/>
      <c r="N267" s="173"/>
      <c r="O267" s="173"/>
      <c r="P267" s="173"/>
      <c r="Q267" s="173"/>
      <c r="R267" s="173"/>
      <c r="S267" s="173"/>
      <c r="T267" s="173"/>
      <c r="U267" s="173"/>
      <c r="V267" s="173"/>
      <c r="W267" s="173"/>
      <c r="X267" s="173"/>
      <c r="Y267" s="173"/>
      <c r="Z267" s="179"/>
      <c r="AA267" s="173"/>
      <c r="AB267" s="173"/>
      <c r="AC267" s="173"/>
      <c r="AD267" s="173"/>
      <c r="AE267" s="173"/>
      <c r="AF267" s="173"/>
      <c r="AG267" s="173"/>
      <c r="AH267" s="173"/>
      <c r="AI267" s="173"/>
      <c r="AJ267" s="173"/>
      <c r="AK267" s="173"/>
    </row>
    <row r="268" spans="9:37" x14ac:dyDescent="0.2">
      <c r="M268" s="173"/>
      <c r="N268" s="173"/>
      <c r="O268" s="173"/>
      <c r="P268" s="173"/>
      <c r="Q268" s="173"/>
      <c r="R268" s="173"/>
      <c r="S268" s="173"/>
      <c r="T268" s="173"/>
      <c r="U268" s="173"/>
      <c r="V268" s="173"/>
      <c r="W268" s="173"/>
      <c r="X268" s="173"/>
      <c r="Y268" s="173"/>
      <c r="Z268" s="179"/>
      <c r="AA268" s="173"/>
      <c r="AB268" s="173"/>
      <c r="AC268" s="173"/>
      <c r="AD268" s="173"/>
      <c r="AE268" s="173"/>
      <c r="AF268" s="173"/>
      <c r="AG268" s="173"/>
      <c r="AH268" s="173"/>
      <c r="AI268" s="173"/>
      <c r="AJ268" s="173"/>
      <c r="AK268" s="173"/>
    </row>
    <row r="269" spans="9:37" x14ac:dyDescent="0.2">
      <c r="M269" s="173"/>
      <c r="N269" s="173"/>
      <c r="O269" s="173"/>
      <c r="P269" s="173"/>
      <c r="Q269" s="173"/>
      <c r="R269" s="173"/>
      <c r="S269" s="173"/>
      <c r="T269" s="173"/>
      <c r="U269" s="173"/>
      <c r="V269" s="173"/>
      <c r="W269" s="173"/>
      <c r="X269" s="173"/>
      <c r="Y269" s="173"/>
      <c r="Z269" s="179"/>
      <c r="AA269" s="173"/>
      <c r="AB269" s="173"/>
      <c r="AC269" s="173"/>
      <c r="AD269" s="173"/>
      <c r="AE269" s="173"/>
      <c r="AF269" s="173"/>
      <c r="AG269" s="173"/>
      <c r="AH269" s="173"/>
      <c r="AI269" s="173"/>
      <c r="AJ269" s="173"/>
      <c r="AK269" s="173"/>
    </row>
    <row r="270" spans="9:37" x14ac:dyDescent="0.2">
      <c r="M270" s="173"/>
      <c r="N270" s="173"/>
      <c r="O270" s="173"/>
      <c r="P270" s="173"/>
      <c r="Q270" s="173"/>
      <c r="R270" s="173"/>
      <c r="S270" s="173"/>
      <c r="T270" s="173"/>
      <c r="U270" s="173"/>
      <c r="V270" s="173"/>
      <c r="W270" s="173"/>
      <c r="X270" s="173"/>
      <c r="Y270" s="173"/>
      <c r="Z270" s="179"/>
      <c r="AA270" s="173"/>
      <c r="AB270" s="173"/>
      <c r="AC270" s="173"/>
      <c r="AD270" s="173"/>
      <c r="AE270" s="173"/>
      <c r="AF270" s="173"/>
      <c r="AG270" s="173"/>
      <c r="AH270" s="173"/>
      <c r="AI270" s="173"/>
      <c r="AJ270" s="173"/>
      <c r="AK270" s="173"/>
    </row>
    <row r="271" spans="9:37" x14ac:dyDescent="0.2">
      <c r="M271" s="173"/>
      <c r="N271" s="173"/>
      <c r="O271" s="173"/>
      <c r="P271" s="173"/>
      <c r="Q271" s="173"/>
      <c r="R271" s="173"/>
      <c r="S271" s="173"/>
      <c r="T271" s="173"/>
      <c r="U271" s="173"/>
      <c r="V271" s="173"/>
      <c r="W271" s="173"/>
      <c r="X271" s="173"/>
      <c r="Y271" s="173"/>
      <c r="Z271" s="179"/>
      <c r="AA271" s="173"/>
      <c r="AB271" s="173"/>
      <c r="AC271" s="173"/>
      <c r="AD271" s="173"/>
      <c r="AE271" s="173"/>
      <c r="AF271" s="173"/>
      <c r="AG271" s="173"/>
      <c r="AH271" s="173"/>
      <c r="AI271" s="173"/>
      <c r="AJ271" s="173"/>
      <c r="AK271" s="173"/>
    </row>
    <row r="272" spans="9:37" x14ac:dyDescent="0.2">
      <c r="M272" s="173"/>
      <c r="N272" s="173"/>
      <c r="O272" s="173"/>
      <c r="P272" s="173"/>
      <c r="Q272" s="173"/>
      <c r="R272" s="173"/>
      <c r="S272" s="173"/>
      <c r="T272" s="173"/>
      <c r="U272" s="173"/>
      <c r="V272" s="173"/>
      <c r="W272" s="173"/>
      <c r="X272" s="173"/>
      <c r="Y272" s="173"/>
      <c r="Z272" s="179"/>
      <c r="AA272" s="173"/>
      <c r="AB272" s="173"/>
      <c r="AC272" s="173"/>
      <c r="AD272" s="173"/>
      <c r="AE272" s="173"/>
      <c r="AF272" s="173"/>
      <c r="AG272" s="173"/>
      <c r="AH272" s="173"/>
      <c r="AI272" s="173"/>
      <c r="AJ272" s="173"/>
      <c r="AK272" s="173"/>
    </row>
    <row r="273" spans="13:37" x14ac:dyDescent="0.2">
      <c r="M273" s="173"/>
      <c r="N273" s="173"/>
      <c r="O273" s="173"/>
      <c r="P273" s="173"/>
      <c r="Q273" s="173"/>
      <c r="R273" s="173"/>
      <c r="S273" s="173"/>
      <c r="T273" s="173"/>
      <c r="U273" s="173"/>
      <c r="V273" s="173"/>
      <c r="W273" s="173"/>
      <c r="X273" s="173"/>
      <c r="Y273" s="173"/>
      <c r="Z273" s="179"/>
      <c r="AA273" s="173"/>
      <c r="AB273" s="173"/>
      <c r="AC273" s="173"/>
      <c r="AD273" s="173"/>
      <c r="AE273" s="173"/>
      <c r="AF273" s="173"/>
      <c r="AG273" s="173"/>
      <c r="AH273" s="173"/>
      <c r="AI273" s="173"/>
      <c r="AJ273" s="173"/>
      <c r="AK273" s="173"/>
    </row>
    <row r="274" spans="13:37" x14ac:dyDescent="0.2">
      <c r="M274" s="173"/>
      <c r="N274" s="173"/>
      <c r="O274" s="173"/>
      <c r="P274" s="173"/>
      <c r="Q274" s="173"/>
      <c r="R274" s="173"/>
      <c r="S274" s="173"/>
      <c r="T274" s="173"/>
      <c r="U274" s="173"/>
      <c r="V274" s="173"/>
      <c r="W274" s="173"/>
      <c r="X274" s="173"/>
      <c r="Y274" s="173"/>
      <c r="Z274" s="179"/>
      <c r="AA274" s="173"/>
      <c r="AB274" s="173"/>
      <c r="AC274" s="173"/>
      <c r="AD274" s="173"/>
      <c r="AE274" s="173"/>
      <c r="AF274" s="173"/>
      <c r="AG274" s="173"/>
      <c r="AH274" s="173"/>
      <c r="AI274" s="173"/>
      <c r="AJ274" s="173"/>
      <c r="AK274" s="173"/>
    </row>
    <row r="275" spans="13:37" x14ac:dyDescent="0.2">
      <c r="M275" s="173"/>
      <c r="N275" s="173"/>
      <c r="O275" s="173"/>
      <c r="P275" s="173"/>
      <c r="Q275" s="173"/>
      <c r="R275" s="173"/>
      <c r="S275" s="173"/>
      <c r="T275" s="173"/>
      <c r="U275" s="173"/>
      <c r="V275" s="173"/>
      <c r="W275" s="173"/>
      <c r="X275" s="173"/>
      <c r="Y275" s="173"/>
      <c r="Z275" s="179"/>
      <c r="AA275" s="173"/>
      <c r="AB275" s="173"/>
      <c r="AC275" s="173"/>
      <c r="AD275" s="173"/>
      <c r="AE275" s="173"/>
      <c r="AF275" s="173"/>
      <c r="AG275" s="173"/>
      <c r="AH275" s="173"/>
      <c r="AI275" s="173"/>
      <c r="AJ275" s="173"/>
      <c r="AK275" s="173"/>
    </row>
    <row r="276" spans="13:37" x14ac:dyDescent="0.2">
      <c r="M276" s="173"/>
      <c r="N276" s="173"/>
      <c r="O276" s="173"/>
      <c r="P276" s="173"/>
      <c r="Q276" s="173"/>
      <c r="R276" s="173"/>
      <c r="S276" s="173"/>
      <c r="T276" s="173"/>
      <c r="U276" s="173"/>
      <c r="V276" s="173"/>
      <c r="W276" s="173"/>
      <c r="X276" s="173"/>
      <c r="Y276" s="173"/>
      <c r="Z276" s="179"/>
      <c r="AA276" s="173"/>
      <c r="AB276" s="173"/>
      <c r="AC276" s="173"/>
      <c r="AD276" s="173"/>
      <c r="AE276" s="173"/>
      <c r="AF276" s="173"/>
      <c r="AG276" s="173"/>
      <c r="AH276" s="173"/>
      <c r="AI276" s="173"/>
      <c r="AJ276" s="173"/>
      <c r="AK276" s="173"/>
    </row>
    <row r="277" spans="13:37" x14ac:dyDescent="0.2">
      <c r="M277" s="173"/>
      <c r="N277" s="173"/>
      <c r="O277" s="173"/>
      <c r="P277" s="173"/>
      <c r="Q277" s="173"/>
      <c r="R277" s="173"/>
      <c r="S277" s="173"/>
      <c r="T277" s="173"/>
      <c r="U277" s="173"/>
      <c r="V277" s="173"/>
      <c r="W277" s="173"/>
      <c r="X277" s="173"/>
      <c r="Y277" s="173"/>
      <c r="Z277" s="179"/>
      <c r="AA277" s="173"/>
      <c r="AB277" s="173"/>
      <c r="AC277" s="173"/>
      <c r="AD277" s="173"/>
      <c r="AE277" s="173"/>
      <c r="AF277" s="173"/>
      <c r="AG277" s="173"/>
      <c r="AH277" s="173"/>
      <c r="AI277" s="173"/>
      <c r="AJ277" s="173"/>
      <c r="AK277" s="173"/>
    </row>
    <row r="278" spans="13:37" x14ac:dyDescent="0.2">
      <c r="M278" s="173"/>
      <c r="N278" s="173"/>
      <c r="O278" s="173"/>
      <c r="P278" s="173"/>
      <c r="Q278" s="173"/>
      <c r="R278" s="173"/>
      <c r="S278" s="173"/>
      <c r="T278" s="173"/>
      <c r="U278" s="173"/>
      <c r="V278" s="173"/>
      <c r="W278" s="173"/>
      <c r="X278" s="173"/>
      <c r="Y278" s="173"/>
      <c r="Z278" s="179"/>
      <c r="AA278" s="173"/>
      <c r="AB278" s="173"/>
      <c r="AC278" s="173"/>
      <c r="AD278" s="173"/>
      <c r="AE278" s="173"/>
      <c r="AF278" s="173"/>
      <c r="AG278" s="173"/>
      <c r="AH278" s="173"/>
      <c r="AI278" s="173"/>
      <c r="AJ278" s="173"/>
      <c r="AK278" s="173"/>
    </row>
    <row r="279" spans="13:37" x14ac:dyDescent="0.2">
      <c r="M279" s="173"/>
      <c r="N279" s="173"/>
      <c r="O279" s="173"/>
      <c r="P279" s="173"/>
      <c r="Q279" s="173"/>
      <c r="R279" s="173"/>
      <c r="S279" s="173"/>
      <c r="T279" s="173"/>
      <c r="U279" s="173"/>
      <c r="V279" s="173"/>
      <c r="W279" s="173"/>
      <c r="X279" s="173"/>
      <c r="Y279" s="173"/>
      <c r="Z279" s="179"/>
      <c r="AA279" s="173"/>
      <c r="AB279" s="173"/>
      <c r="AC279" s="173"/>
      <c r="AD279" s="173"/>
      <c r="AE279" s="173"/>
      <c r="AF279" s="173"/>
      <c r="AG279" s="173"/>
      <c r="AH279" s="173"/>
      <c r="AI279" s="173"/>
      <c r="AJ279" s="173"/>
      <c r="AK279" s="173"/>
    </row>
    <row r="280" spans="13:37" x14ac:dyDescent="0.2">
      <c r="M280" s="173"/>
      <c r="N280" s="173"/>
      <c r="O280" s="173"/>
      <c r="P280" s="173"/>
      <c r="Q280" s="173"/>
      <c r="R280" s="173"/>
      <c r="S280" s="173"/>
      <c r="T280" s="173"/>
      <c r="U280" s="173"/>
      <c r="V280" s="173"/>
      <c r="W280" s="173"/>
      <c r="X280" s="173"/>
      <c r="Y280" s="173"/>
      <c r="Z280" s="179"/>
      <c r="AA280" s="173"/>
      <c r="AB280" s="173"/>
      <c r="AC280" s="173"/>
      <c r="AD280" s="173"/>
      <c r="AE280" s="173"/>
      <c r="AF280" s="173"/>
      <c r="AG280" s="173"/>
      <c r="AH280" s="173"/>
      <c r="AI280" s="173"/>
      <c r="AJ280" s="173"/>
      <c r="AK280" s="173"/>
    </row>
    <row r="281" spans="13:37" x14ac:dyDescent="0.2">
      <c r="M281" s="173"/>
      <c r="N281" s="173"/>
      <c r="O281" s="173"/>
      <c r="P281" s="173"/>
      <c r="Q281" s="173"/>
      <c r="R281" s="173"/>
      <c r="S281" s="173"/>
      <c r="T281" s="173"/>
      <c r="U281" s="173"/>
      <c r="V281" s="173"/>
      <c r="W281" s="173"/>
      <c r="X281" s="173"/>
      <c r="Y281" s="173"/>
      <c r="Z281" s="179"/>
      <c r="AA281" s="173"/>
      <c r="AB281" s="173"/>
      <c r="AC281" s="173"/>
      <c r="AD281" s="173"/>
      <c r="AE281" s="173"/>
      <c r="AF281" s="173"/>
      <c r="AG281" s="173"/>
      <c r="AH281" s="173"/>
      <c r="AI281" s="173"/>
      <c r="AJ281" s="173"/>
      <c r="AK281" s="173"/>
    </row>
    <row r="282" spans="13:37" x14ac:dyDescent="0.2">
      <c r="M282" s="173"/>
      <c r="N282" s="173"/>
      <c r="O282" s="173"/>
      <c r="P282" s="173"/>
      <c r="Q282" s="173"/>
      <c r="R282" s="173"/>
      <c r="S282" s="173"/>
      <c r="T282" s="173"/>
      <c r="U282" s="173"/>
      <c r="V282" s="173"/>
      <c r="W282" s="173"/>
      <c r="X282" s="173"/>
      <c r="Y282" s="173"/>
      <c r="Z282" s="179"/>
      <c r="AA282" s="173"/>
      <c r="AB282" s="173"/>
      <c r="AC282" s="173"/>
      <c r="AD282" s="173"/>
      <c r="AE282" s="173"/>
      <c r="AF282" s="173"/>
      <c r="AG282" s="173"/>
      <c r="AH282" s="173"/>
      <c r="AI282" s="173"/>
      <c r="AJ282" s="173"/>
      <c r="AK282" s="173"/>
    </row>
    <row r="283" spans="13:37" x14ac:dyDescent="0.2">
      <c r="M283" s="173"/>
      <c r="N283" s="173"/>
      <c r="O283" s="173"/>
      <c r="P283" s="173"/>
      <c r="Q283" s="173"/>
      <c r="R283" s="173"/>
      <c r="S283" s="173"/>
      <c r="T283" s="173"/>
      <c r="U283" s="173"/>
      <c r="V283" s="173"/>
      <c r="W283" s="173"/>
      <c r="X283" s="173"/>
      <c r="Y283" s="173"/>
      <c r="Z283" s="179"/>
      <c r="AA283" s="173"/>
      <c r="AB283" s="173"/>
      <c r="AC283" s="173"/>
      <c r="AD283" s="173"/>
      <c r="AE283" s="173"/>
      <c r="AF283" s="173"/>
      <c r="AG283" s="173"/>
      <c r="AH283" s="173"/>
      <c r="AI283" s="173"/>
      <c r="AJ283" s="173"/>
      <c r="AK283" s="173"/>
    </row>
    <row r="284" spans="13:37" x14ac:dyDescent="0.2">
      <c r="M284" s="173"/>
      <c r="N284" s="173"/>
      <c r="O284" s="173"/>
      <c r="P284" s="173"/>
      <c r="Q284" s="173"/>
      <c r="R284" s="173"/>
      <c r="S284" s="173"/>
      <c r="T284" s="173"/>
      <c r="U284" s="173"/>
      <c r="V284" s="173"/>
      <c r="W284" s="173"/>
      <c r="X284" s="173"/>
      <c r="Y284" s="173"/>
      <c r="Z284" s="179"/>
      <c r="AA284" s="173"/>
      <c r="AB284" s="173"/>
      <c r="AC284" s="173"/>
      <c r="AD284" s="173"/>
      <c r="AE284" s="173"/>
      <c r="AF284" s="173"/>
      <c r="AG284" s="173"/>
      <c r="AH284" s="173"/>
      <c r="AI284" s="173"/>
      <c r="AJ284" s="173"/>
      <c r="AK284" s="173"/>
    </row>
    <row r="285" spans="13:37" x14ac:dyDescent="0.2">
      <c r="M285" s="173"/>
      <c r="N285" s="173"/>
      <c r="O285" s="173"/>
      <c r="P285" s="173"/>
      <c r="Q285" s="173"/>
      <c r="R285" s="173"/>
      <c r="S285" s="173"/>
      <c r="T285" s="173"/>
      <c r="U285" s="173"/>
      <c r="V285" s="173"/>
      <c r="W285" s="173"/>
      <c r="X285" s="173"/>
      <c r="Y285" s="173"/>
      <c r="Z285" s="179"/>
      <c r="AA285" s="173"/>
      <c r="AB285" s="173"/>
      <c r="AC285" s="173"/>
      <c r="AD285" s="173"/>
      <c r="AE285" s="173"/>
      <c r="AF285" s="173"/>
      <c r="AG285" s="173"/>
      <c r="AH285" s="173"/>
      <c r="AI285" s="173"/>
      <c r="AJ285" s="173"/>
      <c r="AK285" s="173"/>
    </row>
    <row r="286" spans="13:37" x14ac:dyDescent="0.2">
      <c r="M286" s="173"/>
      <c r="N286" s="173"/>
      <c r="O286" s="173"/>
      <c r="P286" s="173"/>
      <c r="Q286" s="173"/>
      <c r="R286" s="173"/>
      <c r="S286" s="173"/>
      <c r="T286" s="173"/>
      <c r="U286" s="173"/>
      <c r="V286" s="173"/>
      <c r="W286" s="173"/>
      <c r="X286" s="173"/>
      <c r="Y286" s="173"/>
      <c r="Z286" s="179"/>
      <c r="AA286" s="173"/>
      <c r="AB286" s="173"/>
      <c r="AC286" s="173"/>
      <c r="AD286" s="173"/>
      <c r="AE286" s="173"/>
      <c r="AF286" s="173"/>
      <c r="AG286" s="173"/>
      <c r="AH286" s="173"/>
      <c r="AI286" s="173"/>
      <c r="AJ286" s="173"/>
      <c r="AK286" s="173"/>
    </row>
    <row r="287" spans="13:37" x14ac:dyDescent="0.2">
      <c r="M287" s="173"/>
      <c r="N287" s="173"/>
      <c r="O287" s="173"/>
      <c r="P287" s="173"/>
      <c r="Q287" s="173"/>
      <c r="R287" s="173"/>
      <c r="S287" s="173"/>
      <c r="T287" s="173"/>
      <c r="U287" s="173"/>
      <c r="V287" s="173"/>
      <c r="W287" s="173"/>
      <c r="X287" s="173"/>
      <c r="Y287" s="173"/>
      <c r="Z287" s="179"/>
      <c r="AA287" s="173"/>
      <c r="AB287" s="173"/>
      <c r="AC287" s="173"/>
      <c r="AD287" s="173"/>
      <c r="AE287" s="173"/>
      <c r="AF287" s="173"/>
      <c r="AG287" s="173"/>
      <c r="AH287" s="173"/>
      <c r="AI287" s="173"/>
      <c r="AJ287" s="173"/>
      <c r="AK287" s="173"/>
    </row>
    <row r="288" spans="13:37" x14ac:dyDescent="0.2">
      <c r="M288" s="173"/>
      <c r="N288" s="173"/>
      <c r="O288" s="173"/>
      <c r="P288" s="173"/>
      <c r="Q288" s="173"/>
      <c r="R288" s="173"/>
      <c r="S288" s="173"/>
      <c r="T288" s="173"/>
      <c r="U288" s="173"/>
      <c r="V288" s="173"/>
      <c r="W288" s="173"/>
      <c r="X288" s="173"/>
      <c r="Y288" s="173"/>
      <c r="Z288" s="179"/>
      <c r="AA288" s="173"/>
      <c r="AB288" s="173"/>
      <c r="AC288" s="173"/>
      <c r="AD288" s="173"/>
      <c r="AE288" s="173"/>
      <c r="AF288" s="173"/>
      <c r="AG288" s="173"/>
      <c r="AH288" s="173"/>
      <c r="AI288" s="173"/>
      <c r="AJ288" s="173"/>
      <c r="AK288" s="173"/>
    </row>
    <row r="289" spans="2:37" x14ac:dyDescent="0.2">
      <c r="M289" s="173"/>
      <c r="N289" s="173"/>
      <c r="O289" s="173"/>
      <c r="P289" s="173"/>
      <c r="Q289" s="173"/>
      <c r="R289" s="173"/>
      <c r="S289" s="173"/>
      <c r="T289" s="173"/>
      <c r="U289" s="173"/>
      <c r="V289" s="173"/>
      <c r="W289" s="173"/>
      <c r="X289" s="173"/>
      <c r="Y289" s="173"/>
      <c r="Z289" s="179"/>
      <c r="AA289" s="173"/>
      <c r="AB289" s="173"/>
      <c r="AC289" s="173"/>
      <c r="AD289" s="173"/>
      <c r="AE289" s="173"/>
      <c r="AF289" s="173"/>
      <c r="AG289" s="173"/>
      <c r="AH289" s="173"/>
      <c r="AI289" s="173"/>
      <c r="AJ289" s="173"/>
      <c r="AK289" s="173"/>
    </row>
    <row r="290" spans="2:37" x14ac:dyDescent="0.2">
      <c r="M290" s="173"/>
      <c r="N290" s="173"/>
      <c r="O290" s="173"/>
      <c r="P290" s="173"/>
      <c r="Q290" s="173"/>
      <c r="R290" s="173"/>
      <c r="S290" s="173"/>
      <c r="T290" s="173"/>
      <c r="U290" s="173"/>
      <c r="V290" s="173"/>
      <c r="W290" s="173"/>
      <c r="X290" s="173"/>
      <c r="Y290" s="173"/>
      <c r="Z290" s="179"/>
      <c r="AA290" s="173"/>
      <c r="AB290" s="173"/>
      <c r="AC290" s="173"/>
      <c r="AD290" s="173"/>
      <c r="AE290" s="173"/>
      <c r="AF290" s="173"/>
      <c r="AG290" s="173"/>
      <c r="AH290" s="173"/>
      <c r="AI290" s="173"/>
      <c r="AJ290" s="173"/>
      <c r="AK290" s="173"/>
    </row>
    <row r="291" spans="2:37" x14ac:dyDescent="0.2">
      <c r="M291" s="173"/>
      <c r="N291" s="173"/>
      <c r="O291" s="173"/>
      <c r="P291" s="173"/>
      <c r="Q291" s="173"/>
      <c r="R291" s="173"/>
      <c r="S291" s="173"/>
      <c r="T291" s="173"/>
      <c r="U291" s="173"/>
      <c r="V291" s="173"/>
      <c r="W291" s="173"/>
      <c r="X291" s="173"/>
      <c r="Y291" s="173"/>
      <c r="Z291" s="179"/>
      <c r="AA291" s="173"/>
      <c r="AB291" s="173"/>
      <c r="AC291" s="173"/>
      <c r="AD291" s="173"/>
      <c r="AE291" s="173"/>
      <c r="AF291" s="173"/>
      <c r="AG291" s="173"/>
      <c r="AH291" s="173"/>
      <c r="AI291" s="173"/>
      <c r="AJ291" s="173"/>
      <c r="AK291" s="173"/>
    </row>
    <row r="292" spans="2:37" x14ac:dyDescent="0.2">
      <c r="M292" s="173"/>
      <c r="N292" s="173"/>
      <c r="O292" s="173"/>
      <c r="P292" s="173"/>
      <c r="Q292" s="173"/>
      <c r="R292" s="173"/>
      <c r="S292" s="173"/>
      <c r="T292" s="173"/>
      <c r="U292" s="173"/>
      <c r="V292" s="173"/>
      <c r="W292" s="173"/>
      <c r="X292" s="173"/>
      <c r="Y292" s="173"/>
      <c r="Z292" s="179"/>
      <c r="AA292" s="173"/>
      <c r="AB292" s="173"/>
      <c r="AC292" s="173"/>
      <c r="AD292" s="173"/>
      <c r="AE292" s="173"/>
      <c r="AF292" s="173"/>
      <c r="AG292" s="173"/>
      <c r="AH292" s="173"/>
      <c r="AI292" s="173"/>
      <c r="AJ292" s="173"/>
      <c r="AK292" s="173"/>
    </row>
    <row r="293" spans="2:37" x14ac:dyDescent="0.2">
      <c r="D293" s="207" t="s">
        <v>6</v>
      </c>
      <c r="M293" s="173"/>
      <c r="N293" s="173"/>
      <c r="O293" s="173"/>
      <c r="P293" s="173"/>
      <c r="Q293" s="173"/>
      <c r="R293" s="173"/>
      <c r="S293" s="173"/>
      <c r="T293" s="173"/>
      <c r="U293" s="173"/>
      <c r="V293" s="173"/>
      <c r="W293" s="173"/>
      <c r="X293" s="173"/>
      <c r="Y293" s="173"/>
      <c r="Z293" s="179"/>
      <c r="AA293" s="173"/>
      <c r="AB293" s="173"/>
      <c r="AC293" s="173"/>
      <c r="AD293" s="173"/>
      <c r="AE293" s="173"/>
      <c r="AF293" s="173"/>
      <c r="AG293" s="173"/>
      <c r="AH293" s="173"/>
      <c r="AI293" s="173"/>
      <c r="AJ293" s="173"/>
      <c r="AK293" s="173"/>
    </row>
    <row r="294" spans="2:37" x14ac:dyDescent="0.2">
      <c r="M294" s="173"/>
      <c r="N294" s="173"/>
      <c r="O294" s="173"/>
      <c r="P294" s="173"/>
      <c r="Q294" s="173"/>
      <c r="R294" s="173"/>
      <c r="S294" s="173"/>
      <c r="T294" s="173"/>
      <c r="U294" s="173"/>
      <c r="V294" s="173"/>
      <c r="W294" s="173"/>
      <c r="X294" s="173"/>
      <c r="Y294" s="173"/>
      <c r="Z294" s="179"/>
      <c r="AA294" s="173"/>
      <c r="AB294" s="173"/>
      <c r="AC294" s="173"/>
      <c r="AD294" s="173"/>
      <c r="AE294" s="173"/>
      <c r="AF294" s="173"/>
      <c r="AG294" s="173"/>
      <c r="AH294" s="173"/>
      <c r="AI294" s="173"/>
      <c r="AJ294" s="173"/>
      <c r="AK294" s="173"/>
    </row>
    <row r="295" spans="2:37" x14ac:dyDescent="0.2">
      <c r="M295" s="173"/>
      <c r="N295" s="173"/>
      <c r="O295" s="173"/>
      <c r="P295" s="173"/>
      <c r="Q295" s="173"/>
      <c r="R295" s="173"/>
      <c r="S295" s="173"/>
      <c r="T295" s="173"/>
      <c r="U295" s="173"/>
      <c r="V295" s="173"/>
      <c r="W295" s="173"/>
      <c r="X295" s="173"/>
      <c r="Y295" s="173"/>
      <c r="Z295" s="179"/>
      <c r="AA295" s="173"/>
      <c r="AB295" s="173"/>
      <c r="AC295" s="173"/>
      <c r="AD295" s="173"/>
      <c r="AE295" s="173"/>
      <c r="AF295" s="173"/>
      <c r="AG295" s="173"/>
      <c r="AH295" s="173"/>
      <c r="AI295" s="173"/>
      <c r="AJ295" s="173"/>
      <c r="AK295" s="173"/>
    </row>
    <row r="296" spans="2:37" x14ac:dyDescent="0.2">
      <c r="M296" s="173"/>
      <c r="N296" s="173"/>
      <c r="O296" s="173"/>
      <c r="P296" s="173"/>
      <c r="Q296" s="173"/>
      <c r="R296" s="173"/>
      <c r="S296" s="173"/>
      <c r="T296" s="173"/>
      <c r="U296" s="173"/>
      <c r="V296" s="173"/>
      <c r="W296" s="173"/>
      <c r="X296" s="173"/>
      <c r="Y296" s="173"/>
      <c r="Z296" s="179"/>
      <c r="AA296" s="173"/>
      <c r="AB296" s="173"/>
      <c r="AC296" s="173"/>
      <c r="AD296" s="173"/>
      <c r="AE296" s="173"/>
      <c r="AF296" s="173"/>
      <c r="AG296" s="173"/>
      <c r="AH296" s="173"/>
      <c r="AI296" s="173"/>
      <c r="AJ296" s="173"/>
      <c r="AK296" s="173"/>
    </row>
    <row r="297" spans="2:37" x14ac:dyDescent="0.2">
      <c r="D297" s="207" t="s">
        <v>6</v>
      </c>
      <c r="M297" s="173"/>
      <c r="N297" s="173"/>
      <c r="O297" s="173"/>
      <c r="P297" s="173"/>
      <c r="Q297" s="173"/>
      <c r="R297" s="173"/>
      <c r="S297" s="173"/>
      <c r="T297" s="173"/>
      <c r="U297" s="173"/>
      <c r="V297" s="173"/>
      <c r="W297" s="173"/>
      <c r="X297" s="173"/>
      <c r="Y297" s="173"/>
      <c r="Z297" s="179"/>
      <c r="AA297" s="173"/>
      <c r="AB297" s="173"/>
      <c r="AC297" s="173"/>
      <c r="AD297" s="173"/>
      <c r="AE297" s="173"/>
      <c r="AF297" s="173"/>
      <c r="AG297" s="173"/>
      <c r="AH297" s="173"/>
      <c r="AI297" s="173"/>
      <c r="AJ297" s="173"/>
      <c r="AK297" s="173"/>
    </row>
    <row r="298" spans="2:37" x14ac:dyDescent="0.2">
      <c r="M298" s="173"/>
      <c r="N298" s="173"/>
      <c r="O298" s="173"/>
      <c r="P298" s="173"/>
      <c r="Q298" s="173"/>
      <c r="R298" s="173"/>
      <c r="S298" s="173"/>
      <c r="T298" s="173"/>
      <c r="U298" s="173"/>
      <c r="V298" s="173"/>
      <c r="W298" s="173"/>
      <c r="X298" s="173"/>
      <c r="Y298" s="173"/>
      <c r="Z298" s="179"/>
      <c r="AA298" s="173"/>
      <c r="AB298" s="173"/>
      <c r="AC298" s="173"/>
      <c r="AD298" s="173"/>
      <c r="AE298" s="173"/>
      <c r="AF298" s="173"/>
      <c r="AG298" s="173"/>
      <c r="AH298" s="173"/>
      <c r="AI298" s="173"/>
      <c r="AJ298" s="173"/>
      <c r="AK298" s="173"/>
    </row>
    <row r="299" spans="2:37" x14ac:dyDescent="0.2">
      <c r="M299" s="173"/>
      <c r="N299" s="173"/>
      <c r="O299" s="173"/>
      <c r="P299" s="173"/>
      <c r="Q299" s="173"/>
      <c r="R299" s="173"/>
      <c r="S299" s="173"/>
      <c r="T299" s="173"/>
      <c r="U299" s="173"/>
      <c r="V299" s="173"/>
      <c r="W299" s="173"/>
      <c r="X299" s="173"/>
      <c r="Y299" s="173"/>
      <c r="Z299" s="179"/>
      <c r="AA299" s="173"/>
      <c r="AB299" s="173"/>
      <c r="AC299" s="173"/>
      <c r="AD299" s="173"/>
      <c r="AE299" s="173"/>
      <c r="AF299" s="173"/>
      <c r="AG299" s="173"/>
      <c r="AH299" s="173"/>
      <c r="AI299" s="173"/>
      <c r="AJ299" s="173"/>
      <c r="AK299" s="173"/>
    </row>
    <row r="300" spans="2:37" x14ac:dyDescent="0.2">
      <c r="B300" s="167" t="s">
        <v>0</v>
      </c>
      <c r="M300" s="173"/>
      <c r="N300" s="173"/>
      <c r="O300" s="173"/>
      <c r="P300" s="173"/>
      <c r="Q300" s="173"/>
      <c r="R300" s="173"/>
      <c r="S300" s="173"/>
      <c r="T300" s="173"/>
      <c r="U300" s="173"/>
      <c r="V300" s="173"/>
      <c r="W300" s="173"/>
      <c r="X300" s="173"/>
      <c r="Y300" s="173"/>
      <c r="Z300" s="179"/>
      <c r="AA300" s="173"/>
      <c r="AB300" s="173"/>
      <c r="AC300" s="173"/>
      <c r="AD300" s="173"/>
      <c r="AE300" s="173"/>
      <c r="AF300" s="173"/>
      <c r="AG300" s="173"/>
      <c r="AH300" s="173"/>
      <c r="AI300" s="173"/>
      <c r="AJ300" s="173"/>
      <c r="AK300" s="173"/>
    </row>
    <row r="301" spans="2:37" x14ac:dyDescent="0.2">
      <c r="M301" s="173"/>
      <c r="N301" s="173"/>
      <c r="O301" s="173"/>
      <c r="P301" s="173"/>
      <c r="Q301" s="173"/>
      <c r="R301" s="173"/>
      <c r="S301" s="173"/>
      <c r="T301" s="173"/>
      <c r="U301" s="173"/>
      <c r="V301" s="173"/>
      <c r="W301" s="173"/>
      <c r="X301" s="173"/>
      <c r="Y301" s="173"/>
      <c r="Z301" s="179"/>
      <c r="AA301" s="173"/>
      <c r="AB301" s="173"/>
      <c r="AC301" s="173"/>
      <c r="AD301" s="173"/>
      <c r="AE301" s="173"/>
      <c r="AF301" s="173"/>
      <c r="AG301" s="173"/>
      <c r="AH301" s="173"/>
      <c r="AI301" s="173"/>
      <c r="AJ301" s="173"/>
      <c r="AK301" s="173"/>
    </row>
    <row r="302" spans="2:37" x14ac:dyDescent="0.2">
      <c r="M302" s="173"/>
      <c r="N302" s="173"/>
      <c r="O302" s="173"/>
      <c r="P302" s="173"/>
      <c r="Q302" s="173"/>
      <c r="R302" s="173"/>
      <c r="S302" s="173"/>
      <c r="T302" s="173"/>
      <c r="U302" s="173"/>
      <c r="V302" s="173"/>
      <c r="W302" s="173"/>
      <c r="X302" s="173"/>
      <c r="Y302" s="173"/>
      <c r="Z302" s="179"/>
      <c r="AA302" s="173"/>
      <c r="AB302" s="173"/>
      <c r="AC302" s="173"/>
      <c r="AD302" s="173"/>
      <c r="AE302" s="173"/>
      <c r="AF302" s="173"/>
      <c r="AG302" s="173"/>
      <c r="AH302" s="173"/>
      <c r="AI302" s="173"/>
      <c r="AJ302" s="173"/>
      <c r="AK302" s="173"/>
    </row>
    <row r="303" spans="2:37" x14ac:dyDescent="0.2">
      <c r="M303" s="173"/>
      <c r="N303" s="173"/>
      <c r="O303" s="173"/>
      <c r="P303" s="173"/>
      <c r="Q303" s="173"/>
      <c r="R303" s="173"/>
      <c r="S303" s="173"/>
      <c r="T303" s="173"/>
      <c r="U303" s="173"/>
      <c r="V303" s="173"/>
      <c r="W303" s="173"/>
      <c r="X303" s="173"/>
      <c r="Y303" s="173"/>
      <c r="Z303" s="179"/>
      <c r="AA303" s="173"/>
      <c r="AB303" s="173"/>
      <c r="AC303" s="173"/>
      <c r="AD303" s="173"/>
      <c r="AE303" s="173"/>
      <c r="AF303" s="173"/>
      <c r="AG303" s="173"/>
      <c r="AH303" s="173"/>
      <c r="AI303" s="173"/>
      <c r="AJ303" s="173"/>
      <c r="AK303" s="173"/>
    </row>
    <row r="304" spans="2:37" x14ac:dyDescent="0.2">
      <c r="M304" s="173"/>
      <c r="N304" s="173"/>
      <c r="O304" s="173"/>
      <c r="P304" s="173"/>
      <c r="Q304" s="173"/>
      <c r="R304" s="173"/>
      <c r="S304" s="173"/>
      <c r="T304" s="173"/>
      <c r="U304" s="173"/>
      <c r="V304" s="173"/>
      <c r="W304" s="173"/>
      <c r="X304" s="173"/>
      <c r="Y304" s="173"/>
      <c r="Z304" s="179"/>
      <c r="AA304" s="173"/>
      <c r="AB304" s="173"/>
      <c r="AC304" s="173"/>
      <c r="AD304" s="173"/>
      <c r="AE304" s="173"/>
      <c r="AF304" s="173"/>
      <c r="AG304" s="173"/>
      <c r="AH304" s="173"/>
      <c r="AI304" s="173"/>
      <c r="AJ304" s="173"/>
      <c r="AK304" s="173"/>
    </row>
    <row r="305" spans="13:37" x14ac:dyDescent="0.2">
      <c r="M305" s="173"/>
      <c r="N305" s="173"/>
      <c r="O305" s="173"/>
      <c r="P305" s="173"/>
      <c r="Q305" s="173"/>
      <c r="R305" s="173"/>
      <c r="S305" s="173"/>
      <c r="T305" s="173"/>
      <c r="U305" s="173"/>
      <c r="V305" s="173"/>
      <c r="W305" s="173"/>
      <c r="X305" s="173"/>
      <c r="Y305" s="173"/>
      <c r="Z305" s="179"/>
      <c r="AA305" s="173"/>
      <c r="AB305" s="173"/>
      <c r="AC305" s="173"/>
      <c r="AD305" s="173"/>
      <c r="AE305" s="173"/>
      <c r="AF305" s="173"/>
      <c r="AG305" s="173"/>
      <c r="AH305" s="173"/>
      <c r="AI305" s="173"/>
      <c r="AJ305" s="173"/>
      <c r="AK305" s="173"/>
    </row>
    <row r="306" spans="13:37" x14ac:dyDescent="0.2">
      <c r="M306" s="173"/>
      <c r="N306" s="173"/>
      <c r="O306" s="173"/>
      <c r="P306" s="173"/>
      <c r="Q306" s="173"/>
      <c r="R306" s="173"/>
      <c r="S306" s="173"/>
      <c r="T306" s="173"/>
      <c r="U306" s="173"/>
      <c r="V306" s="173"/>
      <c r="W306" s="173"/>
      <c r="X306" s="173"/>
      <c r="Y306" s="173"/>
      <c r="Z306" s="179"/>
      <c r="AA306" s="173"/>
      <c r="AB306" s="173"/>
      <c r="AC306" s="173"/>
      <c r="AD306" s="173"/>
      <c r="AE306" s="173"/>
      <c r="AF306" s="173"/>
      <c r="AG306" s="173"/>
      <c r="AH306" s="173"/>
      <c r="AI306" s="173"/>
      <c r="AJ306" s="173"/>
      <c r="AK306" s="173"/>
    </row>
    <row r="307" spans="13:37" x14ac:dyDescent="0.2">
      <c r="M307" s="173"/>
      <c r="N307" s="173"/>
      <c r="O307" s="173"/>
      <c r="P307" s="173"/>
      <c r="Q307" s="173"/>
      <c r="R307" s="173"/>
      <c r="S307" s="173"/>
      <c r="T307" s="173"/>
      <c r="U307" s="173"/>
      <c r="V307" s="173"/>
      <c r="W307" s="173"/>
      <c r="X307" s="173"/>
      <c r="Y307" s="173"/>
      <c r="Z307" s="179"/>
      <c r="AA307" s="173"/>
      <c r="AB307" s="173"/>
      <c r="AC307" s="173"/>
      <c r="AD307" s="173"/>
      <c r="AE307" s="173"/>
      <c r="AF307" s="173"/>
      <c r="AG307" s="173"/>
      <c r="AH307" s="173"/>
      <c r="AI307" s="173"/>
      <c r="AJ307" s="173"/>
      <c r="AK307" s="173"/>
    </row>
    <row r="308" spans="13:37" x14ac:dyDescent="0.2">
      <c r="M308" s="173"/>
      <c r="N308" s="173"/>
      <c r="O308" s="173"/>
      <c r="P308" s="173"/>
      <c r="Q308" s="173"/>
      <c r="R308" s="173"/>
      <c r="S308" s="173"/>
      <c r="T308" s="173"/>
      <c r="U308" s="173"/>
      <c r="V308" s="173"/>
      <c r="W308" s="173"/>
      <c r="X308" s="173"/>
      <c r="Y308" s="173"/>
      <c r="Z308" s="179"/>
      <c r="AA308" s="173"/>
      <c r="AB308" s="173"/>
      <c r="AC308" s="173"/>
      <c r="AD308" s="173"/>
      <c r="AE308" s="173"/>
      <c r="AF308" s="173"/>
      <c r="AG308" s="173"/>
      <c r="AH308" s="173"/>
      <c r="AI308" s="173"/>
      <c r="AJ308" s="173"/>
      <c r="AK308" s="173"/>
    </row>
    <row r="309" spans="13:37" x14ac:dyDescent="0.2">
      <c r="M309" s="173"/>
      <c r="N309" s="173"/>
      <c r="O309" s="173"/>
      <c r="P309" s="173"/>
      <c r="Q309" s="173"/>
      <c r="R309" s="173"/>
      <c r="S309" s="173"/>
      <c r="T309" s="173"/>
      <c r="U309" s="173"/>
      <c r="V309" s="173"/>
      <c r="W309" s="173"/>
      <c r="X309" s="173"/>
      <c r="Y309" s="173"/>
      <c r="Z309" s="179"/>
      <c r="AA309" s="173"/>
      <c r="AB309" s="173"/>
      <c r="AC309" s="173"/>
      <c r="AD309" s="173"/>
      <c r="AE309" s="173"/>
      <c r="AF309" s="173"/>
      <c r="AG309" s="173"/>
      <c r="AH309" s="173"/>
      <c r="AI309" s="173"/>
      <c r="AJ309" s="173"/>
      <c r="AK309" s="173"/>
    </row>
    <row r="310" spans="13:37" x14ac:dyDescent="0.2">
      <c r="M310" s="173"/>
      <c r="N310" s="173"/>
      <c r="O310" s="173"/>
      <c r="P310" s="173"/>
      <c r="Q310" s="173"/>
      <c r="R310" s="173"/>
      <c r="S310" s="173"/>
      <c r="T310" s="173"/>
      <c r="U310" s="173"/>
      <c r="V310" s="173"/>
      <c r="W310" s="173"/>
      <c r="X310" s="173"/>
      <c r="Y310" s="173"/>
      <c r="Z310" s="179"/>
      <c r="AA310" s="173"/>
      <c r="AB310" s="173"/>
      <c r="AC310" s="173"/>
      <c r="AD310" s="173"/>
      <c r="AE310" s="173"/>
      <c r="AF310" s="173"/>
      <c r="AG310" s="173"/>
      <c r="AH310" s="173"/>
      <c r="AI310" s="173"/>
      <c r="AJ310" s="173"/>
      <c r="AK310" s="173"/>
    </row>
    <row r="311" spans="13:37" x14ac:dyDescent="0.2">
      <c r="M311" s="173"/>
      <c r="N311" s="173"/>
      <c r="O311" s="173"/>
      <c r="P311" s="173"/>
      <c r="Q311" s="173"/>
      <c r="R311" s="173"/>
      <c r="S311" s="173"/>
      <c r="T311" s="173"/>
      <c r="U311" s="173"/>
      <c r="V311" s="173"/>
      <c r="W311" s="173"/>
      <c r="X311" s="173"/>
      <c r="Y311" s="173"/>
      <c r="Z311" s="179"/>
      <c r="AA311" s="173"/>
      <c r="AB311" s="173"/>
      <c r="AC311" s="173"/>
      <c r="AD311" s="173"/>
      <c r="AE311" s="173"/>
      <c r="AF311" s="173"/>
      <c r="AG311" s="173"/>
      <c r="AH311" s="173"/>
      <c r="AI311" s="173"/>
      <c r="AJ311" s="173"/>
      <c r="AK311" s="173"/>
    </row>
    <row r="312" spans="13:37" x14ac:dyDescent="0.2">
      <c r="M312" s="173"/>
      <c r="N312" s="173"/>
      <c r="O312" s="173"/>
      <c r="P312" s="173"/>
      <c r="Q312" s="173"/>
      <c r="R312" s="173"/>
      <c r="S312" s="173"/>
      <c r="T312" s="173"/>
      <c r="U312" s="173"/>
      <c r="V312" s="173"/>
      <c r="W312" s="173"/>
      <c r="X312" s="173"/>
      <c r="Y312" s="173"/>
      <c r="Z312" s="179"/>
      <c r="AA312" s="173"/>
      <c r="AB312" s="173"/>
      <c r="AC312" s="173"/>
      <c r="AD312" s="173"/>
      <c r="AE312" s="173"/>
      <c r="AF312" s="173"/>
      <c r="AG312" s="173"/>
      <c r="AH312" s="173"/>
      <c r="AI312" s="173"/>
      <c r="AJ312" s="173"/>
      <c r="AK312" s="173"/>
    </row>
    <row r="313" spans="13:37" x14ac:dyDescent="0.2">
      <c r="M313" s="173"/>
      <c r="N313" s="173"/>
      <c r="O313" s="173"/>
      <c r="P313" s="173"/>
      <c r="Q313" s="173"/>
      <c r="R313" s="173"/>
      <c r="S313" s="173"/>
      <c r="T313" s="173"/>
      <c r="U313" s="173"/>
      <c r="V313" s="173"/>
      <c r="W313" s="173"/>
      <c r="X313" s="173"/>
      <c r="Y313" s="173"/>
      <c r="Z313" s="179"/>
      <c r="AA313" s="173"/>
      <c r="AB313" s="173"/>
      <c r="AC313" s="173"/>
      <c r="AD313" s="173"/>
      <c r="AE313" s="173"/>
      <c r="AF313" s="173"/>
      <c r="AG313" s="173"/>
      <c r="AH313" s="173"/>
      <c r="AI313" s="173"/>
      <c r="AJ313" s="173"/>
      <c r="AK313" s="173"/>
    </row>
    <row r="314" spans="13:37" x14ac:dyDescent="0.2">
      <c r="M314" s="173"/>
      <c r="N314" s="173"/>
      <c r="O314" s="173"/>
      <c r="P314" s="173"/>
      <c r="Q314" s="173"/>
      <c r="R314" s="173"/>
      <c r="S314" s="173"/>
      <c r="T314" s="173"/>
      <c r="U314" s="173"/>
      <c r="V314" s="173"/>
      <c r="W314" s="173"/>
      <c r="X314" s="173"/>
      <c r="Y314" s="173"/>
      <c r="Z314" s="179"/>
      <c r="AA314" s="173"/>
      <c r="AB314" s="173"/>
      <c r="AC314" s="173"/>
      <c r="AD314" s="173"/>
      <c r="AE314" s="173"/>
      <c r="AF314" s="173"/>
      <c r="AG314" s="173"/>
      <c r="AH314" s="173"/>
      <c r="AI314" s="173"/>
      <c r="AJ314" s="173"/>
      <c r="AK314" s="173"/>
    </row>
    <row r="315" spans="13:37" x14ac:dyDescent="0.2">
      <c r="M315" s="173"/>
      <c r="N315" s="173"/>
      <c r="O315" s="173"/>
      <c r="P315" s="173"/>
      <c r="Q315" s="173"/>
      <c r="R315" s="173"/>
      <c r="S315" s="173"/>
      <c r="T315" s="173"/>
      <c r="U315" s="173"/>
      <c r="V315" s="173"/>
      <c r="W315" s="173"/>
      <c r="X315" s="173"/>
      <c r="Y315" s="173"/>
      <c r="Z315" s="179"/>
      <c r="AA315" s="173"/>
      <c r="AB315" s="173"/>
      <c r="AC315" s="173"/>
      <c r="AD315" s="173"/>
      <c r="AE315" s="173"/>
      <c r="AF315" s="173"/>
      <c r="AG315" s="173"/>
      <c r="AH315" s="173"/>
      <c r="AI315" s="173"/>
      <c r="AJ315" s="173"/>
      <c r="AK315" s="173"/>
    </row>
    <row r="316" spans="13:37" x14ac:dyDescent="0.2">
      <c r="M316" s="173"/>
      <c r="N316" s="173"/>
      <c r="O316" s="173"/>
      <c r="P316" s="173"/>
      <c r="Q316" s="173"/>
      <c r="R316" s="173"/>
      <c r="S316" s="173"/>
      <c r="T316" s="173"/>
      <c r="U316" s="173"/>
      <c r="V316" s="173"/>
      <c r="W316" s="173"/>
      <c r="X316" s="173"/>
      <c r="Y316" s="173"/>
      <c r="Z316" s="179"/>
      <c r="AA316" s="173"/>
      <c r="AB316" s="173"/>
      <c r="AC316" s="173"/>
      <c r="AD316" s="173"/>
      <c r="AE316" s="173"/>
      <c r="AF316" s="173"/>
      <c r="AG316" s="173"/>
      <c r="AH316" s="173"/>
      <c r="AI316" s="173"/>
      <c r="AJ316" s="173"/>
      <c r="AK316" s="173"/>
    </row>
    <row r="317" spans="13:37" x14ac:dyDescent="0.2">
      <c r="M317" s="173"/>
      <c r="N317" s="173"/>
      <c r="O317" s="173"/>
      <c r="P317" s="173"/>
      <c r="Q317" s="173"/>
      <c r="R317" s="173"/>
      <c r="S317" s="173"/>
      <c r="T317" s="173"/>
      <c r="U317" s="173"/>
      <c r="V317" s="173"/>
      <c r="W317" s="173"/>
      <c r="X317" s="173"/>
      <c r="Y317" s="173"/>
      <c r="Z317" s="179"/>
      <c r="AA317" s="173"/>
      <c r="AB317" s="173"/>
      <c r="AC317" s="173"/>
      <c r="AD317" s="173"/>
      <c r="AE317" s="173"/>
      <c r="AF317" s="173"/>
      <c r="AG317" s="173"/>
      <c r="AH317" s="173"/>
      <c r="AI317" s="173"/>
      <c r="AJ317" s="173"/>
      <c r="AK317" s="173"/>
    </row>
    <row r="318" spans="13:37" x14ac:dyDescent="0.2">
      <c r="M318" s="173"/>
      <c r="N318" s="173"/>
      <c r="O318" s="173"/>
      <c r="P318" s="173"/>
      <c r="Q318" s="173"/>
      <c r="R318" s="173"/>
      <c r="S318" s="173"/>
      <c r="T318" s="173"/>
      <c r="U318" s="173"/>
      <c r="V318" s="173"/>
      <c r="W318" s="173"/>
      <c r="X318" s="173"/>
      <c r="Y318" s="173"/>
      <c r="Z318" s="179"/>
      <c r="AA318" s="173"/>
      <c r="AB318" s="173"/>
      <c r="AC318" s="173"/>
      <c r="AD318" s="173"/>
      <c r="AE318" s="173"/>
      <c r="AF318" s="173"/>
      <c r="AG318" s="173"/>
      <c r="AH318" s="173"/>
      <c r="AI318" s="173"/>
      <c r="AJ318" s="173"/>
      <c r="AK318" s="173"/>
    </row>
    <row r="319" spans="13:37" x14ac:dyDescent="0.2">
      <c r="M319" s="173"/>
      <c r="N319" s="173"/>
      <c r="O319" s="173"/>
      <c r="P319" s="173"/>
      <c r="Q319" s="173"/>
      <c r="R319" s="173"/>
      <c r="S319" s="173"/>
      <c r="T319" s="173"/>
      <c r="U319" s="173"/>
      <c r="V319" s="173"/>
      <c r="W319" s="173"/>
      <c r="X319" s="173"/>
      <c r="Y319" s="173"/>
      <c r="Z319" s="179"/>
      <c r="AA319" s="173"/>
      <c r="AB319" s="173"/>
      <c r="AC319" s="173"/>
      <c r="AD319" s="173"/>
      <c r="AE319" s="173"/>
      <c r="AF319" s="173"/>
      <c r="AG319" s="173"/>
      <c r="AH319" s="173"/>
      <c r="AI319" s="173"/>
      <c r="AJ319" s="173"/>
      <c r="AK319" s="173"/>
    </row>
    <row r="320" spans="13:37" x14ac:dyDescent="0.2">
      <c r="M320" s="173"/>
      <c r="N320" s="173"/>
      <c r="O320" s="173"/>
      <c r="P320" s="173"/>
      <c r="Q320" s="173"/>
      <c r="R320" s="173"/>
      <c r="S320" s="173"/>
      <c r="T320" s="173"/>
      <c r="U320" s="173"/>
      <c r="V320" s="173"/>
      <c r="W320" s="173"/>
      <c r="X320" s="173"/>
      <c r="Y320" s="173"/>
      <c r="Z320" s="179"/>
      <c r="AA320" s="173"/>
      <c r="AB320" s="173"/>
      <c r="AC320" s="173"/>
      <c r="AD320" s="173"/>
      <c r="AE320" s="173"/>
      <c r="AF320" s="173"/>
      <c r="AG320" s="173"/>
      <c r="AH320" s="173"/>
      <c r="AI320" s="173"/>
      <c r="AJ320" s="173"/>
      <c r="AK320" s="173"/>
    </row>
    <row r="321" spans="13:37" x14ac:dyDescent="0.2">
      <c r="M321" s="173"/>
      <c r="N321" s="173"/>
      <c r="O321" s="173"/>
      <c r="P321" s="173"/>
      <c r="Q321" s="173"/>
      <c r="R321" s="173"/>
      <c r="S321" s="173"/>
      <c r="T321" s="173"/>
      <c r="U321" s="173"/>
      <c r="V321" s="173"/>
      <c r="W321" s="173"/>
      <c r="X321" s="173"/>
      <c r="Y321" s="173"/>
      <c r="Z321" s="179"/>
      <c r="AA321" s="173"/>
      <c r="AB321" s="173"/>
      <c r="AC321" s="173"/>
      <c r="AD321" s="173"/>
      <c r="AE321" s="173"/>
      <c r="AF321" s="173"/>
      <c r="AG321" s="173"/>
      <c r="AH321" s="173"/>
      <c r="AI321" s="173"/>
      <c r="AJ321" s="173"/>
      <c r="AK321" s="173"/>
    </row>
    <row r="322" spans="13:37" x14ac:dyDescent="0.2">
      <c r="M322" s="173"/>
      <c r="N322" s="173"/>
      <c r="O322" s="173"/>
      <c r="P322" s="173"/>
      <c r="Q322" s="173"/>
      <c r="R322" s="173"/>
      <c r="S322" s="173"/>
      <c r="T322" s="173"/>
      <c r="U322" s="173"/>
      <c r="V322" s="173"/>
      <c r="W322" s="173"/>
      <c r="X322" s="173"/>
      <c r="Y322" s="173"/>
      <c r="Z322" s="179"/>
      <c r="AA322" s="173"/>
      <c r="AB322" s="173"/>
      <c r="AC322" s="173"/>
      <c r="AD322" s="173"/>
      <c r="AE322" s="173"/>
      <c r="AF322" s="173"/>
      <c r="AG322" s="173"/>
      <c r="AH322" s="173"/>
      <c r="AI322" s="173"/>
      <c r="AJ322" s="173"/>
      <c r="AK322" s="173"/>
    </row>
    <row r="323" spans="13:37" x14ac:dyDescent="0.2">
      <c r="M323" s="173"/>
      <c r="N323" s="173"/>
      <c r="O323" s="173"/>
      <c r="P323" s="173"/>
      <c r="Q323" s="173"/>
      <c r="R323" s="173"/>
      <c r="S323" s="173"/>
      <c r="T323" s="173"/>
      <c r="U323" s="173"/>
      <c r="V323" s="173"/>
      <c r="W323" s="173"/>
      <c r="X323" s="173"/>
      <c r="Y323" s="173"/>
      <c r="Z323" s="179"/>
      <c r="AA323" s="173"/>
      <c r="AB323" s="173"/>
      <c r="AC323" s="173"/>
      <c r="AD323" s="173"/>
      <c r="AE323" s="173"/>
      <c r="AF323" s="173"/>
      <c r="AG323" s="173"/>
      <c r="AH323" s="173"/>
      <c r="AI323" s="173"/>
      <c r="AJ323" s="173"/>
      <c r="AK323" s="173"/>
    </row>
    <row r="324" spans="13:37" x14ac:dyDescent="0.2">
      <c r="M324" s="173"/>
      <c r="N324" s="173"/>
      <c r="O324" s="173"/>
      <c r="P324" s="173"/>
      <c r="Q324" s="173"/>
      <c r="R324" s="173"/>
      <c r="S324" s="173"/>
      <c r="T324" s="173"/>
      <c r="U324" s="173"/>
      <c r="V324" s="173"/>
      <c r="W324" s="173"/>
      <c r="X324" s="173"/>
      <c r="Y324" s="173"/>
      <c r="Z324" s="179"/>
      <c r="AA324" s="173"/>
      <c r="AB324" s="173"/>
      <c r="AC324" s="173"/>
      <c r="AD324" s="173"/>
      <c r="AE324" s="173"/>
      <c r="AF324" s="173"/>
      <c r="AG324" s="173"/>
      <c r="AH324" s="173"/>
      <c r="AI324" s="173"/>
      <c r="AJ324" s="173"/>
      <c r="AK324" s="173"/>
    </row>
    <row r="325" spans="13:37" x14ac:dyDescent="0.2">
      <c r="M325" s="173"/>
      <c r="N325" s="173"/>
      <c r="O325" s="173"/>
      <c r="P325" s="173"/>
      <c r="Q325" s="173"/>
      <c r="R325" s="173"/>
      <c r="S325" s="173"/>
      <c r="T325" s="173"/>
      <c r="U325" s="173"/>
      <c r="V325" s="173"/>
      <c r="W325" s="173"/>
      <c r="X325" s="173"/>
      <c r="Y325" s="173"/>
      <c r="Z325" s="179"/>
      <c r="AA325" s="173"/>
      <c r="AB325" s="173"/>
      <c r="AC325" s="173"/>
      <c r="AD325" s="173"/>
      <c r="AE325" s="173"/>
      <c r="AF325" s="173"/>
      <c r="AG325" s="173"/>
      <c r="AH325" s="173"/>
      <c r="AI325" s="173"/>
      <c r="AJ325" s="173"/>
      <c r="AK325" s="173"/>
    </row>
    <row r="326" spans="13:37" x14ac:dyDescent="0.2">
      <c r="M326" s="173"/>
      <c r="N326" s="173"/>
      <c r="O326" s="173"/>
      <c r="P326" s="173"/>
      <c r="Q326" s="173"/>
      <c r="R326" s="173"/>
      <c r="S326" s="173"/>
      <c r="T326" s="173"/>
      <c r="U326" s="173"/>
      <c r="V326" s="173"/>
      <c r="W326" s="173"/>
      <c r="X326" s="173"/>
      <c r="Y326" s="173"/>
      <c r="Z326" s="179"/>
      <c r="AA326" s="173"/>
      <c r="AB326" s="173"/>
      <c r="AC326" s="173"/>
      <c r="AD326" s="173"/>
      <c r="AE326" s="173"/>
      <c r="AF326" s="173"/>
      <c r="AG326" s="173"/>
      <c r="AH326" s="173"/>
      <c r="AI326" s="173"/>
      <c r="AJ326" s="173"/>
      <c r="AK326" s="173"/>
    </row>
    <row r="327" spans="13:37" x14ac:dyDescent="0.2">
      <c r="M327" s="173"/>
      <c r="N327" s="173"/>
      <c r="O327" s="173"/>
      <c r="P327" s="173"/>
      <c r="Q327" s="173"/>
      <c r="R327" s="173"/>
      <c r="S327" s="173"/>
      <c r="T327" s="173"/>
      <c r="U327" s="173"/>
      <c r="V327" s="173"/>
      <c r="W327" s="173"/>
      <c r="X327" s="173"/>
      <c r="Y327" s="173"/>
      <c r="Z327" s="179"/>
      <c r="AA327" s="173"/>
      <c r="AB327" s="173"/>
      <c r="AC327" s="173"/>
      <c r="AD327" s="173"/>
      <c r="AE327" s="173"/>
      <c r="AF327" s="173"/>
      <c r="AG327" s="173"/>
      <c r="AH327" s="173"/>
      <c r="AI327" s="173"/>
      <c r="AJ327" s="173"/>
      <c r="AK327" s="173"/>
    </row>
    <row r="328" spans="13:37" x14ac:dyDescent="0.2">
      <c r="M328" s="173"/>
      <c r="N328" s="173"/>
      <c r="O328" s="173"/>
      <c r="P328" s="173"/>
      <c r="Q328" s="173"/>
      <c r="R328" s="173"/>
      <c r="S328" s="173"/>
      <c r="T328" s="173"/>
      <c r="U328" s="173"/>
      <c r="V328" s="173"/>
      <c r="W328" s="173"/>
      <c r="X328" s="173"/>
      <c r="Y328" s="173"/>
      <c r="Z328" s="179"/>
      <c r="AA328" s="173"/>
      <c r="AB328" s="173"/>
      <c r="AC328" s="173"/>
      <c r="AD328" s="173"/>
      <c r="AE328" s="173"/>
      <c r="AF328" s="173"/>
      <c r="AG328" s="173"/>
      <c r="AH328" s="173"/>
      <c r="AI328" s="173"/>
      <c r="AJ328" s="173"/>
      <c r="AK328" s="173"/>
    </row>
    <row r="329" spans="13:37" x14ac:dyDescent="0.2">
      <c r="M329" s="173"/>
      <c r="N329" s="173"/>
      <c r="O329" s="173"/>
      <c r="P329" s="173"/>
      <c r="Q329" s="173"/>
      <c r="R329" s="173"/>
      <c r="S329" s="173"/>
      <c r="T329" s="173"/>
      <c r="U329" s="173"/>
      <c r="V329" s="173"/>
      <c r="W329" s="173"/>
      <c r="X329" s="173"/>
      <c r="Y329" s="173"/>
      <c r="Z329" s="179"/>
      <c r="AA329" s="173"/>
      <c r="AB329" s="173"/>
      <c r="AC329" s="173"/>
      <c r="AD329" s="173"/>
      <c r="AE329" s="173"/>
      <c r="AF329" s="173"/>
      <c r="AG329" s="173"/>
      <c r="AH329" s="173"/>
      <c r="AI329" s="173"/>
      <c r="AJ329" s="173"/>
      <c r="AK329" s="173"/>
    </row>
    <row r="330" spans="13:37" x14ac:dyDescent="0.2">
      <c r="M330" s="173"/>
      <c r="N330" s="173"/>
      <c r="O330" s="173"/>
      <c r="P330" s="173"/>
      <c r="Q330" s="173"/>
      <c r="R330" s="173"/>
      <c r="S330" s="173"/>
      <c r="T330" s="173"/>
      <c r="U330" s="173"/>
      <c r="V330" s="173"/>
      <c r="W330" s="173"/>
      <c r="X330" s="173"/>
      <c r="Y330" s="173"/>
      <c r="Z330" s="179"/>
      <c r="AA330" s="173"/>
      <c r="AB330" s="173"/>
      <c r="AC330" s="173"/>
      <c r="AD330" s="173"/>
      <c r="AE330" s="173"/>
      <c r="AF330" s="173"/>
      <c r="AG330" s="173"/>
      <c r="AH330" s="173"/>
      <c r="AI330" s="173"/>
      <c r="AJ330" s="173"/>
      <c r="AK330" s="173"/>
    </row>
    <row r="331" spans="13:37" x14ac:dyDescent="0.2">
      <c r="M331" s="173"/>
      <c r="N331" s="173"/>
      <c r="O331" s="173"/>
      <c r="P331" s="173"/>
      <c r="Q331" s="173"/>
      <c r="R331" s="173"/>
      <c r="S331" s="173"/>
      <c r="T331" s="173"/>
      <c r="U331" s="173"/>
      <c r="V331" s="173"/>
      <c r="W331" s="173"/>
      <c r="X331" s="173"/>
      <c r="Y331" s="173"/>
      <c r="Z331" s="179"/>
      <c r="AA331" s="173"/>
      <c r="AB331" s="173"/>
      <c r="AC331" s="173"/>
      <c r="AD331" s="173"/>
      <c r="AE331" s="173"/>
      <c r="AF331" s="173"/>
      <c r="AG331" s="173"/>
      <c r="AH331" s="173"/>
      <c r="AI331" s="173"/>
      <c r="AJ331" s="173"/>
      <c r="AK331" s="173"/>
    </row>
    <row r="332" spans="13:37" x14ac:dyDescent="0.2">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row>
    <row r="333" spans="13:37" x14ac:dyDescent="0.2">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row>
    <row r="334" spans="13:37" x14ac:dyDescent="0.2">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row>
    <row r="335" spans="13:37" x14ac:dyDescent="0.2">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row>
    <row r="336" spans="13:37" x14ac:dyDescent="0.2">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row>
    <row r="337" spans="13:37" x14ac:dyDescent="0.2">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row>
    <row r="338" spans="13:37" x14ac:dyDescent="0.2">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row>
    <row r="339" spans="13:37" x14ac:dyDescent="0.2">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row>
    <row r="340" spans="13:37" x14ac:dyDescent="0.2">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row>
    <row r="341" spans="13:37" x14ac:dyDescent="0.2">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row>
  </sheetData>
  <sheetProtection algorithmName="SHA-512" hashValue="su/CXZMNWjG9IQ8aAEm8per3J8fCZibOpNux4HP6s7iGtDuAzNWj/hNeMRwrPFeIBRBInYzn2ycyOa1I89wy3Q==" saltValue="XoFJnSoVXe7m7a1YSx6Irg==" spinCount="100000" sheet="1" objects="1" scenarios="1"/>
  <autoFilter ref="B2:AK258" xr:uid="{F9AF02D3-0C9E-430A-ACAD-E5767B199252}"/>
  <phoneticPr fontId="9"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DB7FE-F704-4417-B7CC-D977B7BED5E0}">
  <dimension ref="A1:S42"/>
  <sheetViews>
    <sheetView showGridLines="0" zoomScale="80" zoomScaleNormal="80" workbookViewId="0">
      <selection activeCell="A3" sqref="A3:S3"/>
    </sheetView>
  </sheetViews>
  <sheetFormatPr defaultRowHeight="12.75" x14ac:dyDescent="0.2"/>
  <cols>
    <col min="1" max="1" width="69.140625" style="150" customWidth="1"/>
    <col min="2" max="16384" width="9.140625" style="150"/>
  </cols>
  <sheetData>
    <row r="1" spans="1:19" x14ac:dyDescent="0.2">
      <c r="A1" s="201" t="s">
        <v>1023</v>
      </c>
    </row>
    <row r="3" spans="1:19" ht="56.25" customHeight="1" x14ac:dyDescent="0.2">
      <c r="A3" s="280" t="s">
        <v>1027</v>
      </c>
      <c r="B3" s="280"/>
      <c r="C3" s="280"/>
      <c r="D3" s="280"/>
      <c r="E3" s="280"/>
      <c r="F3" s="280"/>
      <c r="G3" s="280"/>
      <c r="H3" s="280"/>
      <c r="I3" s="280"/>
      <c r="J3" s="280"/>
      <c r="K3" s="280"/>
      <c r="L3" s="280"/>
      <c r="M3" s="280"/>
      <c r="N3" s="280"/>
      <c r="O3" s="280"/>
      <c r="P3" s="280"/>
      <c r="Q3" s="280"/>
      <c r="R3" s="280"/>
      <c r="S3" s="280"/>
    </row>
    <row r="5" spans="1:19" s="201" customFormat="1" ht="19.5" customHeight="1" x14ac:dyDescent="0.2">
      <c r="A5" s="206" t="s">
        <v>989</v>
      </c>
    </row>
    <row r="6" spans="1:19" s="201" customFormat="1" ht="19.5" customHeight="1" x14ac:dyDescent="0.2">
      <c r="A6" s="206" t="s">
        <v>990</v>
      </c>
    </row>
    <row r="7" spans="1:19" s="201" customFormat="1" ht="19.5" customHeight="1" x14ac:dyDescent="0.2">
      <c r="A7" s="206" t="s">
        <v>991</v>
      </c>
    </row>
    <row r="8" spans="1:19" s="201" customFormat="1" ht="19.5" customHeight="1" x14ac:dyDescent="0.2">
      <c r="A8" s="206" t="s">
        <v>992</v>
      </c>
    </row>
    <row r="9" spans="1:19" s="201" customFormat="1" ht="19.5" customHeight="1" x14ac:dyDescent="0.2">
      <c r="A9" s="206" t="s">
        <v>993</v>
      </c>
    </row>
    <row r="10" spans="1:19" s="201" customFormat="1" ht="19.5" customHeight="1" x14ac:dyDescent="0.2">
      <c r="A10" s="206" t="s">
        <v>994</v>
      </c>
      <c r="I10" s="201" t="s">
        <v>0</v>
      </c>
    </row>
    <row r="11" spans="1:19" s="201" customFormat="1" ht="19.5" customHeight="1" x14ac:dyDescent="0.2">
      <c r="A11" s="206" t="s">
        <v>995</v>
      </c>
    </row>
    <row r="12" spans="1:19" s="201" customFormat="1" ht="19.5" customHeight="1" x14ac:dyDescent="0.2">
      <c r="A12" s="206" t="s">
        <v>996</v>
      </c>
    </row>
    <row r="13" spans="1:19" s="201" customFormat="1" ht="19.5" customHeight="1" x14ac:dyDescent="0.2">
      <c r="A13" s="206" t="s">
        <v>997</v>
      </c>
    </row>
    <row r="14" spans="1:19" s="201" customFormat="1" ht="19.5" customHeight="1" x14ac:dyDescent="0.2">
      <c r="A14" s="206" t="s">
        <v>934</v>
      </c>
    </row>
    <row r="15" spans="1:19" s="201" customFormat="1" ht="19.5" customHeight="1" x14ac:dyDescent="0.2">
      <c r="A15" s="206" t="s">
        <v>998</v>
      </c>
    </row>
    <row r="16" spans="1:19" s="201" customFormat="1" ht="19.5" customHeight="1" x14ac:dyDescent="0.2">
      <c r="A16" s="206" t="s">
        <v>999</v>
      </c>
    </row>
    <row r="17" spans="1:5" s="201" customFormat="1" ht="16.5" customHeight="1" x14ac:dyDescent="0.2">
      <c r="A17" s="206" t="s">
        <v>1009</v>
      </c>
    </row>
    <row r="18" spans="1:5" s="201" customFormat="1" ht="16.5" customHeight="1" x14ac:dyDescent="0.2">
      <c r="A18" s="206" t="s">
        <v>1010</v>
      </c>
    </row>
    <row r="19" spans="1:5" s="201" customFormat="1" ht="19.5" customHeight="1" x14ac:dyDescent="0.2">
      <c r="A19" s="206" t="s">
        <v>605</v>
      </c>
    </row>
    <row r="20" spans="1:5" s="201" customFormat="1" ht="19.5" customHeight="1" x14ac:dyDescent="0.2">
      <c r="A20" s="206" t="s">
        <v>609</v>
      </c>
    </row>
    <row r="21" spans="1:5" s="201" customFormat="1" ht="19.5" customHeight="1" x14ac:dyDescent="0.2">
      <c r="A21" s="206" t="s">
        <v>612</v>
      </c>
    </row>
    <row r="22" spans="1:5" s="201" customFormat="1" ht="19.5" customHeight="1" x14ac:dyDescent="0.2">
      <c r="A22" s="206" t="s">
        <v>1000</v>
      </c>
    </row>
    <row r="23" spans="1:5" s="201" customFormat="1" ht="19.5" customHeight="1" x14ac:dyDescent="0.2">
      <c r="A23" s="206" t="s">
        <v>1001</v>
      </c>
    </row>
    <row r="24" spans="1:5" s="201" customFormat="1" ht="19.5" customHeight="1" x14ac:dyDescent="0.2">
      <c r="A24" s="206" t="s">
        <v>1002</v>
      </c>
    </row>
    <row r="25" spans="1:5" s="201" customFormat="1" ht="19.5" customHeight="1" x14ac:dyDescent="0.2">
      <c r="A25" s="206" t="s">
        <v>1003</v>
      </c>
    </row>
    <row r="26" spans="1:5" s="201" customFormat="1" ht="19.5" customHeight="1" x14ac:dyDescent="0.2">
      <c r="A26" s="206" t="s">
        <v>572</v>
      </c>
    </row>
    <row r="27" spans="1:5" s="201" customFormat="1" ht="19.5" customHeight="1" x14ac:dyDescent="0.2">
      <c r="A27" s="206" t="s">
        <v>1004</v>
      </c>
    </row>
    <row r="28" spans="1:5" s="201" customFormat="1" ht="19.5" customHeight="1" x14ac:dyDescent="0.2">
      <c r="A28" s="206" t="s">
        <v>620</v>
      </c>
    </row>
    <row r="29" spans="1:5" s="201" customFormat="1" ht="19.5" customHeight="1" x14ac:dyDescent="0.2">
      <c r="A29" s="206" t="s">
        <v>1005</v>
      </c>
      <c r="E29" s="201" t="s">
        <v>6</v>
      </c>
    </row>
    <row r="30" spans="1:5" s="201" customFormat="1" ht="19.5" customHeight="1" x14ac:dyDescent="0.2">
      <c r="A30" s="206" t="s">
        <v>573</v>
      </c>
    </row>
    <row r="31" spans="1:5" s="201" customFormat="1" ht="19.5" customHeight="1" x14ac:dyDescent="0.2">
      <c r="A31" s="206" t="s">
        <v>648</v>
      </c>
    </row>
    <row r="32" spans="1:5" s="201" customFormat="1" ht="19.5" customHeight="1" x14ac:dyDescent="0.2">
      <c r="A32" s="206" t="s">
        <v>652</v>
      </c>
    </row>
    <row r="33" spans="1:19" s="201" customFormat="1" ht="15.75" customHeight="1" x14ac:dyDescent="0.2">
      <c r="A33" s="201" t="s">
        <v>756</v>
      </c>
    </row>
    <row r="34" spans="1:19" s="201" customFormat="1" ht="21" customHeight="1" x14ac:dyDescent="0.2">
      <c r="A34" s="201" t="s">
        <v>923</v>
      </c>
    </row>
    <row r="35" spans="1:19" s="201" customFormat="1" ht="18" customHeight="1" x14ac:dyDescent="0.2">
      <c r="A35" s="201" t="s">
        <v>574</v>
      </c>
    </row>
    <row r="38" spans="1:19" x14ac:dyDescent="0.2">
      <c r="A38" s="201" t="s">
        <v>1006</v>
      </c>
    </row>
    <row r="40" spans="1:19" x14ac:dyDescent="0.2">
      <c r="A40" s="281" t="s">
        <v>1007</v>
      </c>
      <c r="B40" s="281"/>
      <c r="C40" s="281"/>
      <c r="D40" s="281"/>
      <c r="E40" s="281"/>
      <c r="F40" s="281"/>
      <c r="G40" s="281"/>
      <c r="H40" s="281"/>
      <c r="I40" s="281"/>
      <c r="J40" s="281"/>
      <c r="K40" s="281"/>
      <c r="L40" s="281"/>
      <c r="M40" s="281"/>
      <c r="N40" s="281"/>
      <c r="O40" s="281"/>
      <c r="P40" s="281"/>
      <c r="Q40" s="281"/>
      <c r="R40" s="281"/>
      <c r="S40" s="281"/>
    </row>
    <row r="42" spans="1:19" x14ac:dyDescent="0.2">
      <c r="A42" s="150" t="s">
        <v>1008</v>
      </c>
    </row>
  </sheetData>
  <sheetProtection algorithmName="SHA-512" hashValue="U0oVrWVpiXoGdHCK/W2G2UWtKnbHOE6vme0fBAdv218/V2rCrGD3rmBkZ5o57zn6eSeXtGkq8C0gMhZ2txHOUA==" saltValue="WAvnBzwagtMmI8LHAVS53Q==" spinCount="100000" sheet="1" objects="1" scenarios="1"/>
  <mergeCells count="2">
    <mergeCell ref="A3:S3"/>
    <mergeCell ref="A40:S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577C-F10F-4DEB-9AE9-ED22DAB9C24D}">
  <dimension ref="A1:A9"/>
  <sheetViews>
    <sheetView showGridLines="0" zoomScale="80" zoomScaleNormal="80" workbookViewId="0">
      <selection activeCell="A9" sqref="A9"/>
    </sheetView>
  </sheetViews>
  <sheetFormatPr defaultRowHeight="12.75" x14ac:dyDescent="0.2"/>
  <cols>
    <col min="1" max="16384" width="9.140625" style="150"/>
  </cols>
  <sheetData>
    <row r="1" spans="1:1" x14ac:dyDescent="0.2">
      <c r="A1" s="201" t="s">
        <v>985</v>
      </c>
    </row>
    <row r="2" spans="1:1" x14ac:dyDescent="0.2">
      <c r="A2" s="201"/>
    </row>
    <row r="3" spans="1:1" x14ac:dyDescent="0.2">
      <c r="A3" s="150" t="s">
        <v>1012</v>
      </c>
    </row>
    <row r="5" spans="1:1" x14ac:dyDescent="0.2">
      <c r="A5" s="150" t="s">
        <v>986</v>
      </c>
    </row>
    <row r="7" spans="1:1" x14ac:dyDescent="0.2">
      <c r="A7" s="150" t="s">
        <v>988</v>
      </c>
    </row>
    <row r="9" spans="1:1" x14ac:dyDescent="0.2">
      <c r="A9" s="150" t="s">
        <v>987</v>
      </c>
    </row>
  </sheetData>
  <sheetProtection algorithmName="SHA-512" hashValue="jPzh3LKHQQje/U0E/UOLXW7pVUh5fOk9d4da/lXLVRpYxQkd/8Cr3G3qtOUHi5/9I3BrFSUUulnnAL77GKWKZA==" saltValue="CsiQ0/I7Y6iVWhhAkKdEAA==" spinCount="100000" sheet="1" objects="1" scenarios="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7F77-08A2-49C4-B166-4AC62A846542}">
  <dimension ref="B2:E257"/>
  <sheetViews>
    <sheetView showGridLines="0" topLeftCell="A226" zoomScale="80" zoomScaleNormal="80" workbookViewId="0">
      <selection activeCell="C49" sqref="C49"/>
    </sheetView>
  </sheetViews>
  <sheetFormatPr defaultRowHeight="18" customHeight="1" x14ac:dyDescent="0.2"/>
  <cols>
    <col min="1" max="1" width="3.28515625" style="192" customWidth="1"/>
    <col min="2" max="2" width="26" style="192" customWidth="1"/>
    <col min="3" max="3" width="70.85546875" style="192" customWidth="1"/>
    <col min="4" max="4" width="209.85546875" style="192" customWidth="1"/>
    <col min="5" max="5" width="107.7109375" style="192" customWidth="1"/>
    <col min="6" max="16384" width="9.140625" style="192"/>
  </cols>
  <sheetData>
    <row r="2" spans="2:5" ht="18" customHeight="1" x14ac:dyDescent="0.2">
      <c r="B2" s="208" t="s">
        <v>12</v>
      </c>
      <c r="C2" s="209" t="s">
        <v>7</v>
      </c>
      <c r="D2" s="209" t="s">
        <v>1011</v>
      </c>
      <c r="E2" s="191" t="s">
        <v>665</v>
      </c>
    </row>
    <row r="3" spans="2:5" ht="18" customHeight="1" x14ac:dyDescent="0.2">
      <c r="B3" s="193" t="s">
        <v>60</v>
      </c>
      <c r="C3" s="151" t="s">
        <v>61</v>
      </c>
      <c r="D3" s="194" t="s">
        <v>666</v>
      </c>
      <c r="E3" s="152"/>
    </row>
    <row r="4" spans="2:5" ht="18" customHeight="1" x14ac:dyDescent="0.2">
      <c r="B4" s="193" t="s">
        <v>64</v>
      </c>
      <c r="C4" s="151" t="s">
        <v>65</v>
      </c>
      <c r="D4" s="195" t="s">
        <v>667</v>
      </c>
      <c r="E4" s="152"/>
    </row>
    <row r="5" spans="2:5" ht="18" customHeight="1" x14ac:dyDescent="0.2">
      <c r="B5" s="193"/>
      <c r="C5" s="151"/>
      <c r="D5" s="195" t="s">
        <v>668</v>
      </c>
      <c r="E5" s="152"/>
    </row>
    <row r="6" spans="2:5" ht="18" customHeight="1" x14ac:dyDescent="0.2">
      <c r="B6" s="193" t="s">
        <v>69</v>
      </c>
      <c r="C6" s="151" t="s">
        <v>669</v>
      </c>
      <c r="D6" s="195" t="s">
        <v>670</v>
      </c>
      <c r="E6" s="152"/>
    </row>
    <row r="7" spans="2:5" ht="18" customHeight="1" x14ac:dyDescent="0.2">
      <c r="B7" s="193" t="s">
        <v>74</v>
      </c>
      <c r="C7" s="151" t="s">
        <v>75</v>
      </c>
      <c r="D7" s="195" t="s">
        <v>671</v>
      </c>
      <c r="E7" s="152"/>
    </row>
    <row r="8" spans="2:5" ht="18" customHeight="1" x14ac:dyDescent="0.2">
      <c r="B8" s="193" t="s">
        <v>77</v>
      </c>
      <c r="C8" s="151" t="s">
        <v>78</v>
      </c>
      <c r="D8" s="195" t="s">
        <v>672</v>
      </c>
      <c r="E8" s="152"/>
    </row>
    <row r="9" spans="2:5" ht="18" customHeight="1" x14ac:dyDescent="0.2">
      <c r="B9" s="193" t="s">
        <v>81</v>
      </c>
      <c r="C9" s="151" t="s">
        <v>82</v>
      </c>
      <c r="D9" s="195" t="s">
        <v>673</v>
      </c>
      <c r="E9" s="152"/>
    </row>
    <row r="10" spans="2:5" ht="18" customHeight="1" x14ac:dyDescent="0.2">
      <c r="B10" s="193" t="s">
        <v>85</v>
      </c>
      <c r="C10" s="151" t="s">
        <v>86</v>
      </c>
      <c r="D10" s="195" t="s">
        <v>674</v>
      </c>
      <c r="E10" s="152"/>
    </row>
    <row r="11" spans="2:5" ht="18" customHeight="1" x14ac:dyDescent="0.2">
      <c r="B11" s="193" t="s">
        <v>89</v>
      </c>
      <c r="C11" s="151" t="s">
        <v>90</v>
      </c>
      <c r="D11" s="195" t="s">
        <v>675</v>
      </c>
      <c r="E11" s="152"/>
    </row>
    <row r="12" spans="2:5" ht="18" customHeight="1" x14ac:dyDescent="0.2">
      <c r="B12" s="193" t="s">
        <v>89</v>
      </c>
      <c r="C12" s="151" t="s">
        <v>93</v>
      </c>
      <c r="D12" s="195" t="s">
        <v>676</v>
      </c>
      <c r="E12" s="152"/>
    </row>
    <row r="13" spans="2:5" ht="18" customHeight="1" x14ac:dyDescent="0.2">
      <c r="B13" s="193" t="s">
        <v>94</v>
      </c>
      <c r="C13" s="151" t="s">
        <v>95</v>
      </c>
      <c r="D13" s="195" t="s">
        <v>677</v>
      </c>
      <c r="E13" s="152"/>
    </row>
    <row r="14" spans="2:5" ht="18" customHeight="1" x14ac:dyDescent="0.2">
      <c r="B14" s="193" t="s">
        <v>98</v>
      </c>
      <c r="C14" s="151" t="s">
        <v>99</v>
      </c>
      <c r="D14" s="195" t="s">
        <v>678</v>
      </c>
      <c r="E14" s="152"/>
    </row>
    <row r="15" spans="2:5" ht="18" customHeight="1" x14ac:dyDescent="0.2">
      <c r="B15" s="193" t="s">
        <v>104</v>
      </c>
      <c r="C15" s="151" t="s">
        <v>105</v>
      </c>
      <c r="D15" s="195" t="s">
        <v>679</v>
      </c>
      <c r="E15" s="152"/>
    </row>
    <row r="16" spans="2:5" ht="18" customHeight="1" x14ac:dyDescent="0.2">
      <c r="B16" s="193" t="s">
        <v>108</v>
      </c>
      <c r="C16" s="151" t="s">
        <v>109</v>
      </c>
      <c r="D16" s="195" t="s">
        <v>680</v>
      </c>
      <c r="E16" s="152"/>
    </row>
    <row r="17" spans="2:5" ht="18" customHeight="1" x14ac:dyDescent="0.2">
      <c r="B17" s="193" t="s">
        <v>111</v>
      </c>
      <c r="C17" s="151" t="s">
        <v>112</v>
      </c>
      <c r="D17" s="195" t="s">
        <v>681</v>
      </c>
      <c r="E17" s="152"/>
    </row>
    <row r="18" spans="2:5" ht="18" customHeight="1" x14ac:dyDescent="0.2">
      <c r="B18" s="193" t="s">
        <v>116</v>
      </c>
      <c r="C18" s="151" t="s">
        <v>117</v>
      </c>
      <c r="D18" s="195" t="s">
        <v>682</v>
      </c>
      <c r="E18" s="152"/>
    </row>
    <row r="19" spans="2:5" ht="18" customHeight="1" x14ac:dyDescent="0.2">
      <c r="B19" s="193" t="s">
        <v>119</v>
      </c>
      <c r="C19" s="151" t="s">
        <v>120</v>
      </c>
      <c r="D19" s="195" t="s">
        <v>683</v>
      </c>
      <c r="E19" s="152"/>
    </row>
    <row r="20" spans="2:5" ht="18" customHeight="1" x14ac:dyDescent="0.2">
      <c r="B20" s="193" t="s">
        <v>122</v>
      </c>
      <c r="C20" s="151" t="s">
        <v>123</v>
      </c>
      <c r="D20" s="195" t="s">
        <v>684</v>
      </c>
      <c r="E20" s="152"/>
    </row>
    <row r="21" spans="2:5" ht="18" customHeight="1" x14ac:dyDescent="0.2">
      <c r="B21" s="193" t="s">
        <v>124</v>
      </c>
      <c r="C21" s="151" t="s">
        <v>125</v>
      </c>
      <c r="D21" s="195" t="s">
        <v>685</v>
      </c>
      <c r="E21" s="152"/>
    </row>
    <row r="22" spans="2:5" ht="18" customHeight="1" x14ac:dyDescent="0.2">
      <c r="B22" s="193" t="s">
        <v>127</v>
      </c>
      <c r="C22" s="151" t="s">
        <v>128</v>
      </c>
      <c r="D22" s="195" t="s">
        <v>680</v>
      </c>
      <c r="E22" s="152"/>
    </row>
    <row r="23" spans="2:5" ht="18" customHeight="1" x14ac:dyDescent="0.2">
      <c r="B23" s="193" t="s">
        <v>127</v>
      </c>
      <c r="C23" s="151" t="s">
        <v>129</v>
      </c>
      <c r="D23" s="195" t="s">
        <v>686</v>
      </c>
      <c r="E23" s="152"/>
    </row>
    <row r="24" spans="2:5" ht="18" customHeight="1" x14ac:dyDescent="0.2">
      <c r="B24" s="193" t="s">
        <v>127</v>
      </c>
      <c r="C24" s="151" t="s">
        <v>131</v>
      </c>
      <c r="D24" s="195" t="s">
        <v>686</v>
      </c>
      <c r="E24" s="152"/>
    </row>
    <row r="25" spans="2:5" ht="18" customHeight="1" x14ac:dyDescent="0.2">
      <c r="B25" s="193" t="s">
        <v>133</v>
      </c>
      <c r="C25" s="151" t="s">
        <v>134</v>
      </c>
      <c r="D25" s="195" t="s">
        <v>687</v>
      </c>
      <c r="E25" s="152"/>
    </row>
    <row r="26" spans="2:5" ht="18" customHeight="1" x14ac:dyDescent="0.2">
      <c r="B26" s="193" t="s">
        <v>133</v>
      </c>
      <c r="C26" s="151" t="s">
        <v>137</v>
      </c>
      <c r="D26" s="195" t="s">
        <v>688</v>
      </c>
      <c r="E26" s="152"/>
    </row>
    <row r="27" spans="2:5" ht="18" customHeight="1" x14ac:dyDescent="0.2">
      <c r="B27" s="193" t="s">
        <v>133</v>
      </c>
      <c r="C27" s="151" t="s">
        <v>140</v>
      </c>
      <c r="D27" s="195" t="s">
        <v>689</v>
      </c>
      <c r="E27" s="152"/>
    </row>
    <row r="28" spans="2:5" ht="18" customHeight="1" x14ac:dyDescent="0.2">
      <c r="B28" s="193" t="s">
        <v>133</v>
      </c>
      <c r="C28" s="151" t="s">
        <v>141</v>
      </c>
      <c r="D28" s="195" t="s">
        <v>690</v>
      </c>
      <c r="E28" s="152"/>
    </row>
    <row r="29" spans="2:5" ht="18" customHeight="1" x14ac:dyDescent="0.2">
      <c r="B29" s="193" t="s">
        <v>133</v>
      </c>
      <c r="C29" s="151" t="s">
        <v>142</v>
      </c>
      <c r="D29" s="195" t="s">
        <v>690</v>
      </c>
      <c r="E29" s="152"/>
    </row>
    <row r="30" spans="2:5" ht="18" customHeight="1" x14ac:dyDescent="0.2">
      <c r="B30" s="193" t="s">
        <v>133</v>
      </c>
      <c r="C30" s="151" t="s">
        <v>143</v>
      </c>
      <c r="D30" s="195" t="s">
        <v>691</v>
      </c>
      <c r="E30" s="152"/>
    </row>
    <row r="31" spans="2:5" ht="18" customHeight="1" x14ac:dyDescent="0.2">
      <c r="B31" s="193" t="s">
        <v>133</v>
      </c>
      <c r="C31" s="151" t="s">
        <v>145</v>
      </c>
      <c r="D31" s="195" t="s">
        <v>692</v>
      </c>
      <c r="E31" s="152"/>
    </row>
    <row r="32" spans="2:5" ht="18" customHeight="1" x14ac:dyDescent="0.2">
      <c r="B32" s="193" t="s">
        <v>146</v>
      </c>
      <c r="C32" s="196" t="s">
        <v>147</v>
      </c>
      <c r="D32" s="195" t="s">
        <v>693</v>
      </c>
      <c r="E32" s="152"/>
    </row>
    <row r="33" spans="2:5" ht="18" customHeight="1" x14ac:dyDescent="0.2">
      <c r="B33" s="193" t="s">
        <v>150</v>
      </c>
      <c r="C33" s="151" t="s">
        <v>151</v>
      </c>
      <c r="D33" s="195" t="s">
        <v>694</v>
      </c>
      <c r="E33" s="152"/>
    </row>
    <row r="34" spans="2:5" ht="18" customHeight="1" x14ac:dyDescent="0.2">
      <c r="B34" s="193" t="s">
        <v>154</v>
      </c>
      <c r="C34" s="151" t="s">
        <v>155</v>
      </c>
      <c r="D34" s="195" t="s">
        <v>695</v>
      </c>
      <c r="E34" s="152"/>
    </row>
    <row r="35" spans="2:5" ht="18" customHeight="1" x14ac:dyDescent="0.2">
      <c r="B35" s="193" t="s">
        <v>154</v>
      </c>
      <c r="C35" s="151" t="s">
        <v>157</v>
      </c>
      <c r="D35" s="195" t="s">
        <v>696</v>
      </c>
      <c r="E35" s="152"/>
    </row>
    <row r="36" spans="2:5" ht="18" customHeight="1" x14ac:dyDescent="0.2">
      <c r="B36" s="193" t="s">
        <v>154</v>
      </c>
      <c r="C36" s="151" t="s">
        <v>158</v>
      </c>
      <c r="D36" s="195" t="s">
        <v>855</v>
      </c>
      <c r="E36" s="152"/>
    </row>
    <row r="37" spans="2:5" ht="18" customHeight="1" x14ac:dyDescent="0.2">
      <c r="B37" s="193" t="s">
        <v>159</v>
      </c>
      <c r="C37" s="151" t="s">
        <v>160</v>
      </c>
      <c r="D37" s="195" t="s">
        <v>697</v>
      </c>
      <c r="E37" s="152"/>
    </row>
    <row r="38" spans="2:5" ht="18" customHeight="1" x14ac:dyDescent="0.2">
      <c r="B38" s="193" t="s">
        <v>159</v>
      </c>
      <c r="C38" s="151" t="s">
        <v>163</v>
      </c>
      <c r="D38" s="195" t="s">
        <v>698</v>
      </c>
      <c r="E38" s="152"/>
    </row>
    <row r="39" spans="2:5" ht="18" customHeight="1" x14ac:dyDescent="0.2">
      <c r="B39" s="193" t="s">
        <v>164</v>
      </c>
      <c r="C39" s="151" t="s">
        <v>165</v>
      </c>
      <c r="D39" s="195" t="s">
        <v>699</v>
      </c>
      <c r="E39" s="152"/>
    </row>
    <row r="40" spans="2:5" ht="18" customHeight="1" x14ac:dyDescent="0.2">
      <c r="B40" s="193" t="s">
        <v>166</v>
      </c>
      <c r="C40" s="151" t="s">
        <v>167</v>
      </c>
      <c r="D40" s="198" t="s">
        <v>700</v>
      </c>
      <c r="E40" s="152"/>
    </row>
    <row r="41" spans="2:5" ht="18" customHeight="1" x14ac:dyDescent="0.2">
      <c r="B41" s="193" t="s">
        <v>166</v>
      </c>
      <c r="C41" s="151" t="s">
        <v>169</v>
      </c>
      <c r="D41" s="195" t="s">
        <v>701</v>
      </c>
      <c r="E41" s="152"/>
    </row>
    <row r="42" spans="2:5" ht="18" customHeight="1" x14ac:dyDescent="0.2">
      <c r="B42" s="193" t="s">
        <v>166</v>
      </c>
      <c r="C42" s="151" t="s">
        <v>170</v>
      </c>
      <c r="D42" s="195" t="s">
        <v>702</v>
      </c>
      <c r="E42" s="152"/>
    </row>
    <row r="43" spans="2:5" ht="18" customHeight="1" x14ac:dyDescent="0.2">
      <c r="B43" s="193" t="s">
        <v>171</v>
      </c>
      <c r="C43" s="152" t="s">
        <v>172</v>
      </c>
      <c r="D43" s="195" t="s">
        <v>703</v>
      </c>
      <c r="E43" s="152"/>
    </row>
    <row r="44" spans="2:5" ht="18" customHeight="1" x14ac:dyDescent="0.2">
      <c r="B44" s="193" t="s">
        <v>171</v>
      </c>
      <c r="C44" s="151" t="s">
        <v>174</v>
      </c>
      <c r="D44" s="195" t="s">
        <v>703</v>
      </c>
      <c r="E44" s="152"/>
    </row>
    <row r="45" spans="2:5" ht="18" customHeight="1" x14ac:dyDescent="0.2">
      <c r="B45" s="193" t="s">
        <v>171</v>
      </c>
      <c r="C45" s="151" t="s">
        <v>175</v>
      </c>
      <c r="D45" s="195" t="s">
        <v>704</v>
      </c>
      <c r="E45" s="152"/>
    </row>
    <row r="46" spans="2:5" ht="18" customHeight="1" x14ac:dyDescent="0.2">
      <c r="B46" s="193" t="s">
        <v>176</v>
      </c>
      <c r="C46" s="151" t="s">
        <v>177</v>
      </c>
      <c r="D46" s="195" t="s">
        <v>705</v>
      </c>
      <c r="E46" s="152"/>
    </row>
    <row r="47" spans="2:5" ht="18" customHeight="1" x14ac:dyDescent="0.2">
      <c r="B47" s="193" t="s">
        <v>179</v>
      </c>
      <c r="C47" s="151" t="s">
        <v>180</v>
      </c>
      <c r="D47" s="195" t="s">
        <v>706</v>
      </c>
      <c r="E47" s="152"/>
    </row>
    <row r="48" spans="2:5" ht="18" customHeight="1" x14ac:dyDescent="0.2">
      <c r="B48" s="193" t="s">
        <v>183</v>
      </c>
      <c r="C48" s="151" t="s">
        <v>184</v>
      </c>
      <c r="D48" s="195" t="s">
        <v>707</v>
      </c>
      <c r="E48" s="152"/>
    </row>
    <row r="49" spans="2:5" ht="18" customHeight="1" x14ac:dyDescent="0.2">
      <c r="B49" s="193" t="s">
        <v>183</v>
      </c>
      <c r="C49" s="151" t="s">
        <v>186</v>
      </c>
      <c r="D49" s="195" t="s">
        <v>708</v>
      </c>
      <c r="E49" s="152"/>
    </row>
    <row r="50" spans="2:5" ht="18" customHeight="1" x14ac:dyDescent="0.2">
      <c r="B50" s="193" t="s">
        <v>183</v>
      </c>
      <c r="C50" s="151" t="s">
        <v>547</v>
      </c>
      <c r="D50" s="195" t="s">
        <v>709</v>
      </c>
      <c r="E50" s="152"/>
    </row>
    <row r="51" spans="2:5" ht="18" customHeight="1" x14ac:dyDescent="0.2">
      <c r="B51" s="193" t="s">
        <v>183</v>
      </c>
      <c r="C51" s="151" t="s">
        <v>187</v>
      </c>
      <c r="D51" s="195" t="s">
        <v>710</v>
      </c>
      <c r="E51" s="152"/>
    </row>
    <row r="52" spans="2:5" ht="18" customHeight="1" x14ac:dyDescent="0.2">
      <c r="B52" s="193" t="s">
        <v>183</v>
      </c>
      <c r="C52" s="151" t="s">
        <v>188</v>
      </c>
      <c r="D52" s="195" t="s">
        <v>711</v>
      </c>
      <c r="E52" s="152"/>
    </row>
    <row r="53" spans="2:5" ht="18" customHeight="1" x14ac:dyDescent="0.2">
      <c r="B53" s="193" t="s">
        <v>183</v>
      </c>
      <c r="C53" s="151" t="s">
        <v>190</v>
      </c>
      <c r="D53" s="195" t="s">
        <v>712</v>
      </c>
      <c r="E53" s="152"/>
    </row>
    <row r="54" spans="2:5" ht="18" customHeight="1" x14ac:dyDescent="0.2">
      <c r="B54" s="193" t="s">
        <v>183</v>
      </c>
      <c r="C54" s="151" t="s">
        <v>191</v>
      </c>
      <c r="D54" s="195" t="s">
        <v>713</v>
      </c>
      <c r="E54" s="152"/>
    </row>
    <row r="55" spans="2:5" ht="18" customHeight="1" x14ac:dyDescent="0.2">
      <c r="B55" s="193" t="s">
        <v>183</v>
      </c>
      <c r="C55" s="151" t="s">
        <v>546</v>
      </c>
      <c r="D55" s="195" t="s">
        <v>714</v>
      </c>
      <c r="E55" s="152"/>
    </row>
    <row r="56" spans="2:5" ht="18" customHeight="1" x14ac:dyDescent="0.2">
      <c r="B56" s="193" t="s">
        <v>183</v>
      </c>
      <c r="C56" s="151" t="s">
        <v>192</v>
      </c>
      <c r="D56" s="195" t="s">
        <v>715</v>
      </c>
      <c r="E56" s="152"/>
    </row>
    <row r="57" spans="2:5" ht="18" customHeight="1" x14ac:dyDescent="0.2">
      <c r="B57" s="193" t="s">
        <v>183</v>
      </c>
      <c r="C57" s="151" t="s">
        <v>193</v>
      </c>
      <c r="D57" s="195" t="s">
        <v>716</v>
      </c>
      <c r="E57" s="152"/>
    </row>
    <row r="58" spans="2:5" ht="18" customHeight="1" x14ac:dyDescent="0.2">
      <c r="B58" s="193" t="s">
        <v>183</v>
      </c>
      <c r="C58" s="151" t="s">
        <v>194</v>
      </c>
      <c r="D58" s="195" t="s">
        <v>717</v>
      </c>
      <c r="E58" s="152"/>
    </row>
    <row r="59" spans="2:5" ht="18" customHeight="1" x14ac:dyDescent="0.2">
      <c r="B59" s="193" t="s">
        <v>183</v>
      </c>
      <c r="C59" s="151" t="s">
        <v>195</v>
      </c>
      <c r="D59" s="195" t="s">
        <v>718</v>
      </c>
      <c r="E59" s="152"/>
    </row>
    <row r="60" spans="2:5" ht="18" customHeight="1" x14ac:dyDescent="0.2">
      <c r="B60" s="193" t="s">
        <v>183</v>
      </c>
      <c r="C60" s="151" t="s">
        <v>196</v>
      </c>
      <c r="D60" s="195" t="s">
        <v>719</v>
      </c>
      <c r="E60" s="152"/>
    </row>
    <row r="61" spans="2:5" ht="18" customHeight="1" x14ac:dyDescent="0.2">
      <c r="B61" s="193" t="s">
        <v>197</v>
      </c>
      <c r="C61" s="151" t="s">
        <v>198</v>
      </c>
      <c r="D61" s="195" t="s">
        <v>720</v>
      </c>
      <c r="E61" s="152"/>
    </row>
    <row r="62" spans="2:5" ht="18" customHeight="1" x14ac:dyDescent="0.2">
      <c r="B62" s="193" t="s">
        <v>201</v>
      </c>
      <c r="C62" s="151" t="s">
        <v>202</v>
      </c>
      <c r="D62" s="195" t="s">
        <v>721</v>
      </c>
      <c r="E62" s="152"/>
    </row>
    <row r="63" spans="2:5" ht="18" customHeight="1" x14ac:dyDescent="0.2">
      <c r="B63" s="193" t="s">
        <v>204</v>
      </c>
      <c r="C63" s="151" t="s">
        <v>205</v>
      </c>
      <c r="D63" s="195" t="s">
        <v>722</v>
      </c>
      <c r="E63" s="152"/>
    </row>
    <row r="64" spans="2:5" ht="18" customHeight="1" x14ac:dyDescent="0.2">
      <c r="B64" s="193"/>
      <c r="C64" s="151"/>
      <c r="D64" s="195" t="s">
        <v>910</v>
      </c>
      <c r="E64" s="152"/>
    </row>
    <row r="65" spans="2:5" ht="18" customHeight="1" x14ac:dyDescent="0.2">
      <c r="B65" s="193" t="s">
        <v>204</v>
      </c>
      <c r="C65" s="151" t="s">
        <v>208</v>
      </c>
      <c r="D65" s="195" t="s">
        <v>723</v>
      </c>
      <c r="E65" s="152"/>
    </row>
    <row r="66" spans="2:5" ht="18" customHeight="1" x14ac:dyDescent="0.2">
      <c r="B66" s="193" t="s">
        <v>209</v>
      </c>
      <c r="C66" s="151" t="s">
        <v>210</v>
      </c>
      <c r="D66" s="195" t="s">
        <v>724</v>
      </c>
      <c r="E66" s="152"/>
    </row>
    <row r="67" spans="2:5" ht="18" customHeight="1" x14ac:dyDescent="0.25">
      <c r="B67" s="193" t="s">
        <v>209</v>
      </c>
      <c r="C67" s="151" t="s">
        <v>959</v>
      </c>
      <c r="D67" s="197" t="s">
        <v>958</v>
      </c>
      <c r="E67" s="152"/>
    </row>
    <row r="68" spans="2:5" ht="18" customHeight="1" x14ac:dyDescent="0.2">
      <c r="B68" s="193" t="s">
        <v>209</v>
      </c>
      <c r="C68" s="151" t="s">
        <v>214</v>
      </c>
      <c r="D68" s="195" t="s">
        <v>725</v>
      </c>
      <c r="E68" s="152"/>
    </row>
    <row r="69" spans="2:5" ht="18" customHeight="1" x14ac:dyDescent="0.2">
      <c r="B69" s="193" t="s">
        <v>209</v>
      </c>
      <c r="C69" s="151" t="s">
        <v>215</v>
      </c>
      <c r="D69" s="195" t="s">
        <v>724</v>
      </c>
      <c r="E69" s="152"/>
    </row>
    <row r="70" spans="2:5" ht="18" customHeight="1" x14ac:dyDescent="0.2">
      <c r="B70" s="193" t="s">
        <v>209</v>
      </c>
      <c r="C70" s="151" t="s">
        <v>216</v>
      </c>
      <c r="D70" s="195" t="s">
        <v>726</v>
      </c>
      <c r="E70" s="152"/>
    </row>
    <row r="71" spans="2:5" ht="18" customHeight="1" x14ac:dyDescent="0.2">
      <c r="B71" s="193" t="s">
        <v>209</v>
      </c>
      <c r="C71" s="151" t="s">
        <v>217</v>
      </c>
      <c r="D71" s="195" t="s">
        <v>727</v>
      </c>
      <c r="E71" s="152"/>
    </row>
    <row r="72" spans="2:5" ht="18" customHeight="1" x14ac:dyDescent="0.2">
      <c r="B72" s="193" t="s">
        <v>209</v>
      </c>
      <c r="C72" s="151" t="s">
        <v>218</v>
      </c>
      <c r="D72" s="195" t="s">
        <v>728</v>
      </c>
      <c r="E72" s="152"/>
    </row>
    <row r="73" spans="2:5" ht="18" customHeight="1" x14ac:dyDescent="0.2">
      <c r="B73" s="193" t="s">
        <v>219</v>
      </c>
      <c r="C73" s="151" t="s">
        <v>220</v>
      </c>
      <c r="D73" s="195" t="s">
        <v>730</v>
      </c>
      <c r="E73" s="152"/>
    </row>
    <row r="74" spans="2:5" ht="18" customHeight="1" x14ac:dyDescent="0.2">
      <c r="B74" s="193" t="s">
        <v>219</v>
      </c>
      <c r="C74" s="151" t="s">
        <v>222</v>
      </c>
      <c r="D74" s="195" t="s">
        <v>729</v>
      </c>
      <c r="E74" s="152"/>
    </row>
    <row r="75" spans="2:5" ht="18" customHeight="1" x14ac:dyDescent="0.2">
      <c r="B75" s="193" t="s">
        <v>224</v>
      </c>
      <c r="C75" s="151" t="s">
        <v>225</v>
      </c>
      <c r="D75" s="195" t="s">
        <v>731</v>
      </c>
      <c r="E75" s="152"/>
    </row>
    <row r="76" spans="2:5" ht="18" customHeight="1" x14ac:dyDescent="0.2">
      <c r="B76" s="193" t="s">
        <v>224</v>
      </c>
      <c r="C76" s="151" t="s">
        <v>227</v>
      </c>
      <c r="D76" s="195" t="s">
        <v>732</v>
      </c>
      <c r="E76" s="152"/>
    </row>
    <row r="77" spans="2:5" ht="18" customHeight="1" x14ac:dyDescent="0.2">
      <c r="B77" s="193" t="s">
        <v>224</v>
      </c>
      <c r="C77" s="151" t="s">
        <v>228</v>
      </c>
      <c r="D77" s="195" t="s">
        <v>733</v>
      </c>
      <c r="E77" s="152"/>
    </row>
    <row r="78" spans="2:5" ht="18" customHeight="1" x14ac:dyDescent="0.2">
      <c r="B78" s="193" t="s">
        <v>224</v>
      </c>
      <c r="C78" s="151" t="s">
        <v>531</v>
      </c>
      <c r="D78" s="195" t="s">
        <v>718</v>
      </c>
      <c r="E78" s="152"/>
    </row>
    <row r="79" spans="2:5" ht="18" customHeight="1" x14ac:dyDescent="0.2">
      <c r="B79" s="193" t="s">
        <v>224</v>
      </c>
      <c r="C79" s="151" t="s">
        <v>736</v>
      </c>
      <c r="D79" s="195" t="s">
        <v>734</v>
      </c>
      <c r="E79" s="152"/>
    </row>
    <row r="80" spans="2:5" ht="18" customHeight="1" x14ac:dyDescent="0.2">
      <c r="B80" s="193"/>
      <c r="C80" s="151"/>
      <c r="D80" s="195" t="s">
        <v>735</v>
      </c>
      <c r="E80" s="152"/>
    </row>
    <row r="81" spans="2:5" ht="18" customHeight="1" x14ac:dyDescent="0.2">
      <c r="B81" s="193" t="s">
        <v>224</v>
      </c>
      <c r="C81" s="151" t="s">
        <v>233</v>
      </c>
      <c r="D81" s="195" t="s">
        <v>737</v>
      </c>
      <c r="E81" s="152"/>
    </row>
    <row r="82" spans="2:5" ht="18" customHeight="1" x14ac:dyDescent="0.2">
      <c r="B82" s="193" t="s">
        <v>234</v>
      </c>
      <c r="C82" s="151" t="s">
        <v>235</v>
      </c>
      <c r="D82" s="195" t="s">
        <v>738</v>
      </c>
      <c r="E82" s="152"/>
    </row>
    <row r="83" spans="2:5" ht="18" customHeight="1" x14ac:dyDescent="0.2">
      <c r="B83" s="193" t="s">
        <v>237</v>
      </c>
      <c r="C83" s="151" t="s">
        <v>238</v>
      </c>
      <c r="D83" s="195" t="s">
        <v>739</v>
      </c>
      <c r="E83" s="152"/>
    </row>
    <row r="84" spans="2:5" ht="18" customHeight="1" x14ac:dyDescent="0.2">
      <c r="B84" s="193" t="s">
        <v>240</v>
      </c>
      <c r="C84" s="151" t="s">
        <v>241</v>
      </c>
      <c r="D84" s="195" t="s">
        <v>740</v>
      </c>
      <c r="E84" s="152"/>
    </row>
    <row r="85" spans="2:5" ht="18" customHeight="1" x14ac:dyDescent="0.2">
      <c r="B85" s="193" t="s">
        <v>244</v>
      </c>
      <c r="C85" s="151" t="s">
        <v>245</v>
      </c>
      <c r="D85" s="195" t="s">
        <v>741</v>
      </c>
      <c r="E85" s="152"/>
    </row>
    <row r="86" spans="2:5" ht="18" customHeight="1" x14ac:dyDescent="0.2">
      <c r="B86" s="193" t="s">
        <v>247</v>
      </c>
      <c r="C86" s="151" t="s">
        <v>248</v>
      </c>
      <c r="D86" s="195" t="s">
        <v>742</v>
      </c>
      <c r="E86" s="152"/>
    </row>
    <row r="87" spans="2:5" ht="18" customHeight="1" x14ac:dyDescent="0.2">
      <c r="B87" s="193" t="s">
        <v>249</v>
      </c>
      <c r="C87" s="151" t="s">
        <v>250</v>
      </c>
      <c r="D87" s="195" t="s">
        <v>743</v>
      </c>
      <c r="E87" s="152"/>
    </row>
    <row r="88" spans="2:5" ht="18" customHeight="1" x14ac:dyDescent="0.2">
      <c r="B88" s="193" t="s">
        <v>253</v>
      </c>
      <c r="C88" s="151" t="s">
        <v>254</v>
      </c>
      <c r="D88" s="195" t="s">
        <v>744</v>
      </c>
      <c r="E88" s="152"/>
    </row>
    <row r="89" spans="2:5" ht="18" customHeight="1" x14ac:dyDescent="0.2">
      <c r="B89" s="193" t="s">
        <v>256</v>
      </c>
      <c r="C89" s="151" t="s">
        <v>257</v>
      </c>
      <c r="D89" s="195" t="s">
        <v>745</v>
      </c>
      <c r="E89" s="152"/>
    </row>
    <row r="90" spans="2:5" ht="18" customHeight="1" x14ac:dyDescent="0.2">
      <c r="B90" s="193" t="s">
        <v>256</v>
      </c>
      <c r="C90" s="151" t="s">
        <v>258</v>
      </c>
      <c r="D90" s="195" t="s">
        <v>746</v>
      </c>
      <c r="E90" s="152"/>
    </row>
    <row r="91" spans="2:5" ht="18" customHeight="1" x14ac:dyDescent="0.2">
      <c r="B91" s="193" t="s">
        <v>260</v>
      </c>
      <c r="C91" s="151" t="s">
        <v>261</v>
      </c>
      <c r="D91" s="195" t="s">
        <v>747</v>
      </c>
      <c r="E91" s="152"/>
    </row>
    <row r="92" spans="2:5" ht="18" customHeight="1" x14ac:dyDescent="0.2">
      <c r="B92" s="193" t="s">
        <v>262</v>
      </c>
      <c r="C92" s="151" t="s">
        <v>263</v>
      </c>
      <c r="D92" s="195" t="s">
        <v>748</v>
      </c>
      <c r="E92" s="152"/>
    </row>
    <row r="93" spans="2:5" ht="18" customHeight="1" x14ac:dyDescent="0.2">
      <c r="B93" s="193" t="s">
        <v>264</v>
      </c>
      <c r="C93" s="151" t="s">
        <v>265</v>
      </c>
      <c r="D93" s="195" t="s">
        <v>750</v>
      </c>
      <c r="E93" s="152"/>
    </row>
    <row r="94" spans="2:5" ht="18" customHeight="1" x14ac:dyDescent="0.2">
      <c r="B94" s="193" t="s">
        <v>264</v>
      </c>
      <c r="C94" s="151" t="s">
        <v>749</v>
      </c>
      <c r="D94" s="195" t="s">
        <v>751</v>
      </c>
      <c r="E94" s="152"/>
    </row>
    <row r="95" spans="2:5" ht="18" customHeight="1" x14ac:dyDescent="0.2">
      <c r="B95" s="193" t="s">
        <v>264</v>
      </c>
      <c r="C95" s="151" t="s">
        <v>268</v>
      </c>
      <c r="D95" s="195" t="s">
        <v>752</v>
      </c>
      <c r="E95" s="152"/>
    </row>
    <row r="96" spans="2:5" ht="18" customHeight="1" x14ac:dyDescent="0.2">
      <c r="B96" s="193" t="s">
        <v>270</v>
      </c>
      <c r="C96" s="151" t="s">
        <v>271</v>
      </c>
      <c r="D96" s="195" t="s">
        <v>753</v>
      </c>
      <c r="E96" s="152"/>
    </row>
    <row r="97" spans="2:5" ht="18" customHeight="1" x14ac:dyDescent="0.2">
      <c r="B97" s="193" t="s">
        <v>272</v>
      </c>
      <c r="C97" s="151" t="s">
        <v>273</v>
      </c>
      <c r="D97" s="195" t="s">
        <v>754</v>
      </c>
      <c r="E97" s="152"/>
    </row>
    <row r="98" spans="2:5" ht="18" customHeight="1" x14ac:dyDescent="0.2">
      <c r="B98" s="193" t="s">
        <v>274</v>
      </c>
      <c r="C98" s="151" t="s">
        <v>275</v>
      </c>
      <c r="D98" s="195" t="s">
        <v>754</v>
      </c>
      <c r="E98" s="152"/>
    </row>
    <row r="99" spans="2:5" ht="18" customHeight="1" x14ac:dyDescent="0.2">
      <c r="B99" s="193" t="s">
        <v>274</v>
      </c>
      <c r="C99" s="151" t="s">
        <v>276</v>
      </c>
      <c r="D99" s="195" t="s">
        <v>754</v>
      </c>
      <c r="E99" s="152"/>
    </row>
    <row r="100" spans="2:5" ht="18" customHeight="1" x14ac:dyDescent="0.2">
      <c r="B100" s="193" t="s">
        <v>274</v>
      </c>
      <c r="C100" s="151" t="s">
        <v>277</v>
      </c>
      <c r="D100" s="195" t="s">
        <v>754</v>
      </c>
      <c r="E100" s="152"/>
    </row>
    <row r="101" spans="2:5" ht="18" customHeight="1" x14ac:dyDescent="0.2">
      <c r="B101" s="193" t="s">
        <v>274</v>
      </c>
      <c r="C101" s="151" t="s">
        <v>278</v>
      </c>
      <c r="D101" s="195" t="s">
        <v>754</v>
      </c>
      <c r="E101" s="152"/>
    </row>
    <row r="102" spans="2:5" ht="18" customHeight="1" x14ac:dyDescent="0.2">
      <c r="B102" s="193" t="s">
        <v>274</v>
      </c>
      <c r="C102" s="151" t="s">
        <v>279</v>
      </c>
      <c r="D102" s="195" t="s">
        <v>754</v>
      </c>
      <c r="E102" s="152"/>
    </row>
    <row r="103" spans="2:5" ht="18" customHeight="1" x14ac:dyDescent="0.2">
      <c r="B103" s="193" t="s">
        <v>274</v>
      </c>
      <c r="C103" s="151" t="s">
        <v>530</v>
      </c>
      <c r="D103" s="195" t="s">
        <v>754</v>
      </c>
      <c r="E103" s="152"/>
    </row>
    <row r="104" spans="2:5" ht="18" customHeight="1" x14ac:dyDescent="0.2">
      <c r="B104" s="193" t="s">
        <v>274</v>
      </c>
      <c r="C104" s="151" t="s">
        <v>280</v>
      </c>
      <c r="D104" s="195" t="s">
        <v>703</v>
      </c>
      <c r="E104" s="152"/>
    </row>
    <row r="105" spans="2:5" ht="18" customHeight="1" x14ac:dyDescent="0.2">
      <c r="B105" s="193" t="s">
        <v>282</v>
      </c>
      <c r="C105" s="151" t="s">
        <v>283</v>
      </c>
      <c r="D105" s="195" t="s">
        <v>755</v>
      </c>
      <c r="E105" s="152"/>
    </row>
    <row r="106" spans="2:5" ht="18" customHeight="1" x14ac:dyDescent="0.2">
      <c r="B106" s="193" t="s">
        <v>285</v>
      </c>
      <c r="C106" s="151" t="s">
        <v>286</v>
      </c>
      <c r="D106" s="195" t="s">
        <v>757</v>
      </c>
      <c r="E106" s="152"/>
    </row>
    <row r="107" spans="2:5" ht="18" customHeight="1" x14ac:dyDescent="0.2">
      <c r="B107" s="193" t="s">
        <v>287</v>
      </c>
      <c r="C107" s="151" t="s">
        <v>288</v>
      </c>
      <c r="D107" s="195" t="s">
        <v>758</v>
      </c>
      <c r="E107" s="152"/>
    </row>
    <row r="108" spans="2:5" ht="18" customHeight="1" x14ac:dyDescent="0.2">
      <c r="B108" s="193" t="s">
        <v>287</v>
      </c>
      <c r="C108" s="151" t="s">
        <v>291</v>
      </c>
      <c r="D108" s="195" t="s">
        <v>758</v>
      </c>
      <c r="E108" s="152"/>
    </row>
    <row r="109" spans="2:5" ht="18" customHeight="1" x14ac:dyDescent="0.2">
      <c r="B109" s="193" t="s">
        <v>287</v>
      </c>
      <c r="C109" s="151" t="s">
        <v>292</v>
      </c>
      <c r="D109" s="195" t="s">
        <v>759</v>
      </c>
      <c r="E109" s="152"/>
    </row>
    <row r="110" spans="2:5" ht="18" customHeight="1" x14ac:dyDescent="0.2">
      <c r="B110" s="193" t="s">
        <v>287</v>
      </c>
      <c r="C110" s="151" t="s">
        <v>293</v>
      </c>
      <c r="D110" s="195" t="s">
        <v>760</v>
      </c>
      <c r="E110" s="152"/>
    </row>
    <row r="111" spans="2:5" ht="18" customHeight="1" x14ac:dyDescent="0.2">
      <c r="B111" s="193" t="s">
        <v>294</v>
      </c>
      <c r="C111" s="151" t="s">
        <v>295</v>
      </c>
      <c r="D111" s="195" t="s">
        <v>761</v>
      </c>
      <c r="E111" s="152"/>
    </row>
    <row r="112" spans="2:5" ht="18" customHeight="1" x14ac:dyDescent="0.2">
      <c r="B112" s="193" t="s">
        <v>294</v>
      </c>
      <c r="C112" s="151" t="s">
        <v>296</v>
      </c>
      <c r="D112" s="195" t="s">
        <v>762</v>
      </c>
      <c r="E112" s="152"/>
    </row>
    <row r="113" spans="2:5" ht="18" customHeight="1" x14ac:dyDescent="0.2">
      <c r="B113" s="193" t="s">
        <v>294</v>
      </c>
      <c r="C113" s="151" t="s">
        <v>297</v>
      </c>
      <c r="D113" s="195" t="s">
        <v>763</v>
      </c>
      <c r="E113" s="152"/>
    </row>
    <row r="114" spans="2:5" ht="18" customHeight="1" x14ac:dyDescent="0.2">
      <c r="B114" s="193" t="s">
        <v>294</v>
      </c>
      <c r="C114" s="151" t="s">
        <v>299</v>
      </c>
      <c r="D114" s="195" t="s">
        <v>745</v>
      </c>
      <c r="E114" s="152"/>
    </row>
    <row r="115" spans="2:5" ht="18" customHeight="1" x14ac:dyDescent="0.2">
      <c r="B115" s="193" t="s">
        <v>294</v>
      </c>
      <c r="C115" s="151" t="s">
        <v>300</v>
      </c>
      <c r="D115" s="195" t="s">
        <v>764</v>
      </c>
      <c r="E115" s="152"/>
    </row>
    <row r="116" spans="2:5" ht="18" customHeight="1" x14ac:dyDescent="0.2">
      <c r="B116" s="193" t="s">
        <v>294</v>
      </c>
      <c r="C116" s="151" t="s">
        <v>301</v>
      </c>
      <c r="D116" s="195" t="s">
        <v>765</v>
      </c>
      <c r="E116" s="152"/>
    </row>
    <row r="117" spans="2:5" ht="18" customHeight="1" x14ac:dyDescent="0.2">
      <c r="B117" s="193" t="s">
        <v>294</v>
      </c>
      <c r="C117" s="151" t="s">
        <v>302</v>
      </c>
      <c r="D117" s="195" t="s">
        <v>766</v>
      </c>
      <c r="E117" s="152"/>
    </row>
    <row r="118" spans="2:5" ht="18" customHeight="1" x14ac:dyDescent="0.2">
      <c r="B118" s="193" t="s">
        <v>303</v>
      </c>
      <c r="C118" s="151" t="s">
        <v>304</v>
      </c>
      <c r="D118" s="195" t="s">
        <v>767</v>
      </c>
      <c r="E118" s="152"/>
    </row>
    <row r="119" spans="2:5" ht="18" customHeight="1" x14ac:dyDescent="0.2">
      <c r="B119" s="193" t="s">
        <v>305</v>
      </c>
      <c r="C119" s="151" t="s">
        <v>306</v>
      </c>
      <c r="D119" s="195" t="s">
        <v>768</v>
      </c>
      <c r="E119" s="152"/>
    </row>
    <row r="120" spans="2:5" ht="18" customHeight="1" x14ac:dyDescent="0.2">
      <c r="B120" s="193" t="s">
        <v>310</v>
      </c>
      <c r="C120" s="151" t="s">
        <v>575</v>
      </c>
      <c r="D120" s="195" t="s">
        <v>769</v>
      </c>
      <c r="E120" s="152"/>
    </row>
    <row r="121" spans="2:5" ht="18" customHeight="1" x14ac:dyDescent="0.2">
      <c r="B121" s="193" t="s">
        <v>310</v>
      </c>
      <c r="C121" s="151" t="s">
        <v>312</v>
      </c>
      <c r="D121" s="195" t="s">
        <v>770</v>
      </c>
      <c r="E121" s="152"/>
    </row>
    <row r="122" spans="2:5" ht="18" customHeight="1" x14ac:dyDescent="0.2">
      <c r="B122" s="193" t="s">
        <v>310</v>
      </c>
      <c r="C122" s="151" t="s">
        <v>313</v>
      </c>
      <c r="D122" s="195" t="s">
        <v>771</v>
      </c>
      <c r="E122" s="152"/>
    </row>
    <row r="123" spans="2:5" ht="18" customHeight="1" x14ac:dyDescent="0.2">
      <c r="B123" s="193" t="s">
        <v>310</v>
      </c>
      <c r="C123" s="196" t="s">
        <v>315</v>
      </c>
      <c r="D123" s="195" t="s">
        <v>772</v>
      </c>
      <c r="E123" s="152"/>
    </row>
    <row r="124" spans="2:5" ht="18" customHeight="1" x14ac:dyDescent="0.2">
      <c r="B124" s="193" t="s">
        <v>310</v>
      </c>
      <c r="C124" s="151" t="s">
        <v>316</v>
      </c>
      <c r="D124" s="195" t="s">
        <v>773</v>
      </c>
      <c r="E124" s="152"/>
    </row>
    <row r="125" spans="2:5" ht="18" customHeight="1" x14ac:dyDescent="0.2">
      <c r="B125" s="193" t="s">
        <v>310</v>
      </c>
      <c r="C125" s="151" t="s">
        <v>317</v>
      </c>
      <c r="D125" s="195" t="s">
        <v>774</v>
      </c>
      <c r="E125" s="152"/>
    </row>
    <row r="126" spans="2:5" ht="18" customHeight="1" x14ac:dyDescent="0.2">
      <c r="B126" s="193" t="s">
        <v>310</v>
      </c>
      <c r="C126" s="151" t="s">
        <v>318</v>
      </c>
      <c r="D126" s="195" t="s">
        <v>775</v>
      </c>
      <c r="E126" s="152"/>
    </row>
    <row r="127" spans="2:5" ht="18" customHeight="1" x14ac:dyDescent="0.2">
      <c r="B127" s="193" t="s">
        <v>319</v>
      </c>
      <c r="C127" s="151" t="s">
        <v>320</v>
      </c>
      <c r="D127" s="195" t="s">
        <v>776</v>
      </c>
      <c r="E127" s="152"/>
    </row>
    <row r="128" spans="2:5" ht="18" customHeight="1" x14ac:dyDescent="0.2">
      <c r="B128" s="193" t="s">
        <v>321</v>
      </c>
      <c r="C128" s="151" t="s">
        <v>322</v>
      </c>
      <c r="D128" s="195" t="s">
        <v>777</v>
      </c>
      <c r="E128" s="152"/>
    </row>
    <row r="129" spans="2:5" ht="18" customHeight="1" x14ac:dyDescent="0.2">
      <c r="B129" s="193" t="s">
        <v>321</v>
      </c>
      <c r="C129" s="151" t="s">
        <v>323</v>
      </c>
      <c r="D129" s="195" t="s">
        <v>778</v>
      </c>
      <c r="E129" s="152"/>
    </row>
    <row r="130" spans="2:5" ht="18" customHeight="1" x14ac:dyDescent="0.2">
      <c r="B130" s="193" t="s">
        <v>321</v>
      </c>
      <c r="C130" s="151" t="s">
        <v>324</v>
      </c>
      <c r="D130" s="195" t="s">
        <v>779</v>
      </c>
      <c r="E130" s="152"/>
    </row>
    <row r="131" spans="2:5" ht="18" customHeight="1" x14ac:dyDescent="0.2">
      <c r="B131" s="193" t="s">
        <v>321</v>
      </c>
      <c r="C131" s="151" t="s">
        <v>325</v>
      </c>
      <c r="D131" s="195" t="s">
        <v>780</v>
      </c>
      <c r="E131" s="152"/>
    </row>
    <row r="132" spans="2:5" ht="18" customHeight="1" x14ac:dyDescent="0.2">
      <c r="B132" s="193" t="s">
        <v>321</v>
      </c>
      <c r="C132" s="151" t="s">
        <v>326</v>
      </c>
      <c r="D132" s="195" t="s">
        <v>781</v>
      </c>
      <c r="E132" s="152"/>
    </row>
    <row r="133" spans="2:5" ht="18" customHeight="1" x14ac:dyDescent="0.2">
      <c r="B133" s="193" t="s">
        <v>321</v>
      </c>
      <c r="C133" s="151" t="s">
        <v>327</v>
      </c>
      <c r="D133" s="195" t="s">
        <v>782</v>
      </c>
      <c r="E133" s="152"/>
    </row>
    <row r="134" spans="2:5" ht="18" customHeight="1" x14ac:dyDescent="0.2">
      <c r="B134" s="193" t="s">
        <v>328</v>
      </c>
      <c r="C134" s="151" t="s">
        <v>329</v>
      </c>
      <c r="D134" s="195" t="s">
        <v>783</v>
      </c>
      <c r="E134" s="152"/>
    </row>
    <row r="135" spans="2:5" ht="18" customHeight="1" x14ac:dyDescent="0.2">
      <c r="B135" s="193" t="s">
        <v>328</v>
      </c>
      <c r="C135" s="151" t="s">
        <v>331</v>
      </c>
      <c r="D135" s="195" t="s">
        <v>784</v>
      </c>
      <c r="E135" s="152"/>
    </row>
    <row r="136" spans="2:5" ht="18" customHeight="1" x14ac:dyDescent="0.2">
      <c r="B136" s="193" t="s">
        <v>328</v>
      </c>
      <c r="C136" s="151" t="s">
        <v>332</v>
      </c>
      <c r="D136" s="195" t="s">
        <v>785</v>
      </c>
      <c r="E136" s="152"/>
    </row>
    <row r="137" spans="2:5" ht="18" customHeight="1" x14ac:dyDescent="0.2">
      <c r="B137" s="193" t="s">
        <v>328</v>
      </c>
      <c r="C137" s="151" t="s">
        <v>333</v>
      </c>
      <c r="D137" s="195" t="s">
        <v>786</v>
      </c>
      <c r="E137" s="152"/>
    </row>
    <row r="138" spans="2:5" ht="18" customHeight="1" x14ac:dyDescent="0.2">
      <c r="B138" s="193" t="s">
        <v>328</v>
      </c>
      <c r="C138" s="151" t="s">
        <v>334</v>
      </c>
      <c r="D138" s="195" t="s">
        <v>787</v>
      </c>
      <c r="E138" s="152"/>
    </row>
    <row r="139" spans="2:5" ht="18" customHeight="1" x14ac:dyDescent="0.2">
      <c r="B139" s="193" t="s">
        <v>328</v>
      </c>
      <c r="C139" s="151" t="s">
        <v>336</v>
      </c>
      <c r="D139" s="195" t="s">
        <v>788</v>
      </c>
      <c r="E139" s="152"/>
    </row>
    <row r="140" spans="2:5" ht="18" customHeight="1" x14ac:dyDescent="0.2">
      <c r="B140" s="193" t="s">
        <v>328</v>
      </c>
      <c r="C140" s="151" t="s">
        <v>337</v>
      </c>
      <c r="D140" s="195" t="s">
        <v>789</v>
      </c>
      <c r="E140" s="152"/>
    </row>
    <row r="141" spans="2:5" ht="18" customHeight="1" x14ac:dyDescent="0.2">
      <c r="B141" s="193" t="s">
        <v>328</v>
      </c>
      <c r="C141" s="151" t="s">
        <v>339</v>
      </c>
      <c r="D141" s="195" t="s">
        <v>790</v>
      </c>
      <c r="E141" s="152"/>
    </row>
    <row r="142" spans="2:5" ht="18" customHeight="1" x14ac:dyDescent="0.2">
      <c r="B142" s="193" t="s">
        <v>328</v>
      </c>
      <c r="C142" s="151" t="s">
        <v>340</v>
      </c>
      <c r="D142" s="195" t="s">
        <v>791</v>
      </c>
      <c r="E142" s="152"/>
    </row>
    <row r="143" spans="2:5" ht="18" customHeight="1" x14ac:dyDescent="0.2">
      <c r="B143" s="193" t="s">
        <v>328</v>
      </c>
      <c r="C143" s="151" t="s">
        <v>341</v>
      </c>
      <c r="D143" s="195" t="s">
        <v>792</v>
      </c>
      <c r="E143" s="152"/>
    </row>
    <row r="144" spans="2:5" ht="18" customHeight="1" x14ac:dyDescent="0.2">
      <c r="B144" s="193" t="s">
        <v>328</v>
      </c>
      <c r="C144" s="151" t="s">
        <v>342</v>
      </c>
      <c r="D144" s="195" t="s">
        <v>793</v>
      </c>
      <c r="E144" s="152"/>
    </row>
    <row r="145" spans="2:5" ht="18" customHeight="1" x14ac:dyDescent="0.2">
      <c r="B145" s="193" t="s">
        <v>328</v>
      </c>
      <c r="C145" s="151" t="s">
        <v>343</v>
      </c>
      <c r="D145" s="195" t="s">
        <v>794</v>
      </c>
      <c r="E145" s="152"/>
    </row>
    <row r="146" spans="2:5" ht="18" customHeight="1" x14ac:dyDescent="0.2">
      <c r="B146" s="193" t="s">
        <v>328</v>
      </c>
      <c r="C146" s="151" t="s">
        <v>544</v>
      </c>
      <c r="D146" s="195" t="s">
        <v>795</v>
      </c>
      <c r="E146" s="152"/>
    </row>
    <row r="147" spans="2:5" ht="18" customHeight="1" x14ac:dyDescent="0.2">
      <c r="B147" s="193" t="s">
        <v>328</v>
      </c>
      <c r="C147" s="151" t="s">
        <v>344</v>
      </c>
      <c r="D147" s="195" t="s">
        <v>796</v>
      </c>
      <c r="E147" s="152"/>
    </row>
    <row r="148" spans="2:5" ht="18" customHeight="1" x14ac:dyDescent="0.2">
      <c r="B148" s="193" t="s">
        <v>328</v>
      </c>
      <c r="C148" s="151" t="s">
        <v>535</v>
      </c>
      <c r="D148" s="195" t="s">
        <v>797</v>
      </c>
      <c r="E148" s="152"/>
    </row>
    <row r="149" spans="2:5" ht="18" customHeight="1" x14ac:dyDescent="0.2">
      <c r="B149" s="193" t="s">
        <v>328</v>
      </c>
      <c r="C149" s="151" t="s">
        <v>345</v>
      </c>
      <c r="D149" s="195" t="s">
        <v>797</v>
      </c>
      <c r="E149" s="152"/>
    </row>
    <row r="150" spans="2:5" ht="18" customHeight="1" x14ac:dyDescent="0.2">
      <c r="B150" s="193" t="s">
        <v>328</v>
      </c>
      <c r="C150" s="151" t="s">
        <v>346</v>
      </c>
      <c r="D150" s="195" t="s">
        <v>797</v>
      </c>
      <c r="E150" s="152"/>
    </row>
    <row r="151" spans="2:5" ht="18" customHeight="1" x14ac:dyDescent="0.2">
      <c r="B151" s="193" t="s">
        <v>328</v>
      </c>
      <c r="C151" s="151" t="s">
        <v>347</v>
      </c>
      <c r="D151" s="195" t="s">
        <v>797</v>
      </c>
      <c r="E151" s="152"/>
    </row>
    <row r="152" spans="2:5" ht="18" customHeight="1" x14ac:dyDescent="0.2">
      <c r="B152" s="193" t="s">
        <v>328</v>
      </c>
      <c r="C152" s="151" t="s">
        <v>348</v>
      </c>
      <c r="D152" s="195" t="s">
        <v>798</v>
      </c>
      <c r="E152" s="152"/>
    </row>
    <row r="153" spans="2:5" ht="18" customHeight="1" x14ac:dyDescent="0.2">
      <c r="B153" s="193" t="s">
        <v>328</v>
      </c>
      <c r="C153" s="151" t="s">
        <v>349</v>
      </c>
      <c r="D153" s="195" t="s">
        <v>799</v>
      </c>
      <c r="E153" s="152"/>
    </row>
    <row r="154" spans="2:5" ht="18" customHeight="1" x14ac:dyDescent="0.2">
      <c r="B154" s="193" t="s">
        <v>350</v>
      </c>
      <c r="C154" s="151" t="s">
        <v>351</v>
      </c>
      <c r="D154" s="195" t="s">
        <v>800</v>
      </c>
      <c r="E154" s="152"/>
    </row>
    <row r="155" spans="2:5" ht="18" customHeight="1" x14ac:dyDescent="0.2">
      <c r="B155" s="193" t="s">
        <v>350</v>
      </c>
      <c r="C155" s="151" t="s">
        <v>353</v>
      </c>
      <c r="D155" s="195" t="s">
        <v>801</v>
      </c>
      <c r="E155" s="152"/>
    </row>
    <row r="156" spans="2:5" ht="18" customHeight="1" x14ac:dyDescent="0.2">
      <c r="B156" s="193" t="s">
        <v>354</v>
      </c>
      <c r="C156" s="151" t="s">
        <v>355</v>
      </c>
      <c r="D156" s="195" t="s">
        <v>802</v>
      </c>
      <c r="E156" s="152"/>
    </row>
    <row r="157" spans="2:5" ht="18" customHeight="1" x14ac:dyDescent="0.2">
      <c r="B157" s="193" t="s">
        <v>356</v>
      </c>
      <c r="C157" s="151" t="s">
        <v>357</v>
      </c>
      <c r="D157" s="195" t="s">
        <v>803</v>
      </c>
      <c r="E157" s="152"/>
    </row>
    <row r="158" spans="2:5" ht="18" customHeight="1" x14ac:dyDescent="0.2">
      <c r="B158" s="193"/>
      <c r="C158" s="151" t="s">
        <v>543</v>
      </c>
      <c r="D158" s="195" t="s">
        <v>803</v>
      </c>
      <c r="E158" s="152"/>
    </row>
    <row r="159" spans="2:5" ht="18" customHeight="1" x14ac:dyDescent="0.2">
      <c r="B159" s="193" t="s">
        <v>358</v>
      </c>
      <c r="C159" s="151" t="s">
        <v>536</v>
      </c>
      <c r="D159" s="195" t="s">
        <v>804</v>
      </c>
      <c r="E159" s="152"/>
    </row>
    <row r="160" spans="2:5" ht="18" customHeight="1" x14ac:dyDescent="0.2">
      <c r="B160" s="193" t="s">
        <v>359</v>
      </c>
      <c r="C160" s="151" t="s">
        <v>360</v>
      </c>
      <c r="D160" s="195" t="s">
        <v>805</v>
      </c>
      <c r="E160" s="152"/>
    </row>
    <row r="161" spans="2:5" ht="18" customHeight="1" x14ac:dyDescent="0.2">
      <c r="B161" s="193" t="s">
        <v>361</v>
      </c>
      <c r="C161" s="151" t="s">
        <v>362</v>
      </c>
      <c r="D161" s="195" t="s">
        <v>806</v>
      </c>
      <c r="E161" s="152"/>
    </row>
    <row r="162" spans="2:5" ht="18" customHeight="1" x14ac:dyDescent="0.2">
      <c r="B162" s="193"/>
      <c r="C162" s="151" t="s">
        <v>537</v>
      </c>
      <c r="D162" s="195" t="s">
        <v>806</v>
      </c>
      <c r="E162" s="152"/>
    </row>
    <row r="163" spans="2:5" ht="18" customHeight="1" x14ac:dyDescent="0.2">
      <c r="B163" s="193" t="s">
        <v>365</v>
      </c>
      <c r="C163" s="151" t="s">
        <v>366</v>
      </c>
      <c r="D163" s="195" t="s">
        <v>807</v>
      </c>
      <c r="E163" s="152"/>
    </row>
    <row r="164" spans="2:5" ht="18" customHeight="1" x14ac:dyDescent="0.2">
      <c r="B164" s="193" t="s">
        <v>368</v>
      </c>
      <c r="C164" s="151" t="s">
        <v>369</v>
      </c>
      <c r="D164" s="195" t="s">
        <v>808</v>
      </c>
      <c r="E164" s="152"/>
    </row>
    <row r="165" spans="2:5" ht="18" customHeight="1" x14ac:dyDescent="0.2">
      <c r="B165" s="193" t="s">
        <v>371</v>
      </c>
      <c r="C165" s="151" t="s">
        <v>372</v>
      </c>
      <c r="D165" s="195" t="s">
        <v>809</v>
      </c>
      <c r="E165" s="152"/>
    </row>
    <row r="166" spans="2:5" ht="18" customHeight="1" x14ac:dyDescent="0.2">
      <c r="B166" s="193" t="s">
        <v>374</v>
      </c>
      <c r="C166" s="151" t="s">
        <v>542</v>
      </c>
      <c r="D166" s="195" t="s">
        <v>810</v>
      </c>
      <c r="E166" s="152"/>
    </row>
    <row r="167" spans="2:5" ht="18" customHeight="1" x14ac:dyDescent="0.2">
      <c r="B167" s="193" t="s">
        <v>375</v>
      </c>
      <c r="C167" s="151" t="s">
        <v>376</v>
      </c>
      <c r="D167" s="195" t="s">
        <v>811</v>
      </c>
      <c r="E167" s="152"/>
    </row>
    <row r="168" spans="2:5" ht="18" customHeight="1" x14ac:dyDescent="0.2">
      <c r="B168" s="193" t="s">
        <v>378</v>
      </c>
      <c r="C168" s="151" t="s">
        <v>379</v>
      </c>
      <c r="D168" s="195" t="s">
        <v>812</v>
      </c>
      <c r="E168" s="152"/>
    </row>
    <row r="169" spans="2:5" ht="18" customHeight="1" x14ac:dyDescent="0.2">
      <c r="B169" s="193" t="s">
        <v>381</v>
      </c>
      <c r="C169" s="151" t="s">
        <v>382</v>
      </c>
      <c r="D169" s="195" t="s">
        <v>813</v>
      </c>
      <c r="E169" s="152"/>
    </row>
    <row r="170" spans="2:5" ht="18" customHeight="1" x14ac:dyDescent="0.2">
      <c r="B170" s="193" t="s">
        <v>383</v>
      </c>
      <c r="C170" s="151" t="s">
        <v>384</v>
      </c>
      <c r="D170" s="195" t="s">
        <v>814</v>
      </c>
      <c r="E170" s="152"/>
    </row>
    <row r="171" spans="2:5" ht="18" customHeight="1" x14ac:dyDescent="0.2">
      <c r="B171" s="193" t="s">
        <v>387</v>
      </c>
      <c r="C171" s="151" t="s">
        <v>388</v>
      </c>
      <c r="D171" s="195" t="s">
        <v>815</v>
      </c>
      <c r="E171" s="152"/>
    </row>
    <row r="172" spans="2:5" ht="18" customHeight="1" x14ac:dyDescent="0.2">
      <c r="B172" s="193" t="s">
        <v>391</v>
      </c>
      <c r="C172" s="151" t="s">
        <v>567</v>
      </c>
      <c r="D172" s="195" t="s">
        <v>816</v>
      </c>
      <c r="E172" s="152"/>
    </row>
    <row r="173" spans="2:5" ht="18" customHeight="1" x14ac:dyDescent="0.2">
      <c r="B173" s="193" t="s">
        <v>391</v>
      </c>
      <c r="C173" s="151" t="s">
        <v>394</v>
      </c>
      <c r="D173" s="195" t="s">
        <v>817</v>
      </c>
      <c r="E173" s="152"/>
    </row>
    <row r="174" spans="2:5" ht="18" customHeight="1" x14ac:dyDescent="0.2">
      <c r="B174" s="193" t="s">
        <v>391</v>
      </c>
      <c r="C174" s="151" t="s">
        <v>395</v>
      </c>
      <c r="D174" s="195" t="s">
        <v>818</v>
      </c>
      <c r="E174" s="152"/>
    </row>
    <row r="175" spans="2:5" ht="18" customHeight="1" x14ac:dyDescent="0.2">
      <c r="B175" s="193" t="s">
        <v>391</v>
      </c>
      <c r="C175" s="151" t="s">
        <v>396</v>
      </c>
      <c r="D175" s="195" t="s">
        <v>820</v>
      </c>
      <c r="E175" s="152"/>
    </row>
    <row r="176" spans="2:5" ht="18" customHeight="1" x14ac:dyDescent="0.2">
      <c r="B176" s="193" t="s">
        <v>397</v>
      </c>
      <c r="C176" s="151" t="s">
        <v>538</v>
      </c>
      <c r="D176" s="195" t="s">
        <v>821</v>
      </c>
      <c r="E176" s="152"/>
    </row>
    <row r="177" spans="2:5" ht="18" customHeight="1" x14ac:dyDescent="0.2">
      <c r="B177" s="193" t="s">
        <v>391</v>
      </c>
      <c r="C177" s="151" t="s">
        <v>398</v>
      </c>
      <c r="D177" s="195" t="s">
        <v>822</v>
      </c>
      <c r="E177" s="152"/>
    </row>
    <row r="178" spans="2:5" ht="18" customHeight="1" x14ac:dyDescent="0.2">
      <c r="B178" s="193" t="s">
        <v>391</v>
      </c>
      <c r="C178" s="151" t="s">
        <v>399</v>
      </c>
      <c r="D178" s="195" t="s">
        <v>823</v>
      </c>
      <c r="E178" s="152"/>
    </row>
    <row r="179" spans="2:5" ht="18" customHeight="1" x14ac:dyDescent="0.2">
      <c r="B179" s="193" t="s">
        <v>391</v>
      </c>
      <c r="C179" s="151" t="s">
        <v>400</v>
      </c>
      <c r="D179" s="195" t="s">
        <v>824</v>
      </c>
      <c r="E179" s="152"/>
    </row>
    <row r="180" spans="2:5" ht="18" customHeight="1" x14ac:dyDescent="0.2">
      <c r="B180" s="193" t="s">
        <v>401</v>
      </c>
      <c r="C180" s="151" t="s">
        <v>402</v>
      </c>
      <c r="D180" s="195" t="s">
        <v>825</v>
      </c>
      <c r="E180" s="152"/>
    </row>
    <row r="181" spans="2:5" ht="18" customHeight="1" x14ac:dyDescent="0.2">
      <c r="B181" s="193" t="s">
        <v>401</v>
      </c>
      <c r="C181" s="151" t="s">
        <v>404</v>
      </c>
      <c r="D181" s="195" t="s">
        <v>819</v>
      </c>
      <c r="E181" s="152"/>
    </row>
    <row r="182" spans="2:5" ht="18" customHeight="1" x14ac:dyDescent="0.2">
      <c r="B182" s="193" t="s">
        <v>401</v>
      </c>
      <c r="C182" s="151" t="s">
        <v>405</v>
      </c>
      <c r="D182" s="195" t="s">
        <v>826</v>
      </c>
      <c r="E182" s="152"/>
    </row>
    <row r="183" spans="2:5" ht="18" customHeight="1" x14ac:dyDescent="0.2">
      <c r="B183" s="193" t="s">
        <v>401</v>
      </c>
      <c r="C183" s="151" t="s">
        <v>407</v>
      </c>
      <c r="D183" s="195" t="s">
        <v>827</v>
      </c>
      <c r="E183" s="152"/>
    </row>
    <row r="184" spans="2:5" ht="18" customHeight="1" x14ac:dyDescent="0.2">
      <c r="B184" s="193" t="s">
        <v>401</v>
      </c>
      <c r="C184" s="151" t="s">
        <v>408</v>
      </c>
      <c r="D184" s="195" t="s">
        <v>828</v>
      </c>
      <c r="E184" s="152"/>
    </row>
    <row r="185" spans="2:5" ht="18" customHeight="1" x14ac:dyDescent="0.2">
      <c r="B185" s="193" t="s">
        <v>410</v>
      </c>
      <c r="C185" s="151" t="s">
        <v>411</v>
      </c>
      <c r="D185" s="195" t="s">
        <v>829</v>
      </c>
      <c r="E185" s="152"/>
    </row>
    <row r="186" spans="2:5" ht="18" customHeight="1" x14ac:dyDescent="0.2">
      <c r="B186" s="193" t="s">
        <v>413</v>
      </c>
      <c r="C186" s="151" t="s">
        <v>414</v>
      </c>
      <c r="D186" s="195" t="s">
        <v>830</v>
      </c>
      <c r="E186" s="152"/>
    </row>
    <row r="187" spans="2:5" ht="18" customHeight="1" x14ac:dyDescent="0.2">
      <c r="B187" s="193" t="s">
        <v>416</v>
      </c>
      <c r="C187" s="151" t="s">
        <v>417</v>
      </c>
      <c r="D187" s="195" t="s">
        <v>831</v>
      </c>
      <c r="E187" s="152"/>
    </row>
    <row r="188" spans="2:5" ht="18" customHeight="1" x14ac:dyDescent="0.2">
      <c r="B188" s="193" t="s">
        <v>419</v>
      </c>
      <c r="C188" s="151" t="s">
        <v>420</v>
      </c>
      <c r="D188" s="195" t="s">
        <v>832</v>
      </c>
      <c r="E188" s="152"/>
    </row>
    <row r="189" spans="2:5" ht="18" customHeight="1" x14ac:dyDescent="0.2">
      <c r="B189" s="193" t="s">
        <v>421</v>
      </c>
      <c r="C189" s="151" t="s">
        <v>422</v>
      </c>
      <c r="D189" s="195" t="s">
        <v>833</v>
      </c>
      <c r="E189" s="152"/>
    </row>
    <row r="190" spans="2:5" ht="18" customHeight="1" x14ac:dyDescent="0.2">
      <c r="B190" s="193" t="s">
        <v>423</v>
      </c>
      <c r="C190" s="151" t="s">
        <v>424</v>
      </c>
      <c r="D190" s="195" t="s">
        <v>834</v>
      </c>
      <c r="E190" s="152"/>
    </row>
    <row r="191" spans="2:5" ht="18" customHeight="1" x14ac:dyDescent="0.2">
      <c r="B191" s="193" t="s">
        <v>426</v>
      </c>
      <c r="C191" s="151" t="s">
        <v>427</v>
      </c>
      <c r="D191" s="195" t="s">
        <v>835</v>
      </c>
      <c r="E191" s="152"/>
    </row>
    <row r="192" spans="2:5" ht="18" customHeight="1" x14ac:dyDescent="0.2">
      <c r="B192" s="193" t="s">
        <v>428</v>
      </c>
      <c r="C192" s="196" t="s">
        <v>429</v>
      </c>
      <c r="D192" s="195" t="s">
        <v>835</v>
      </c>
      <c r="E192" s="152"/>
    </row>
    <row r="193" spans="2:5" ht="18" customHeight="1" x14ac:dyDescent="0.2">
      <c r="B193" s="193" t="s">
        <v>430</v>
      </c>
      <c r="C193" s="151" t="s">
        <v>568</v>
      </c>
      <c r="D193" s="195" t="s">
        <v>836</v>
      </c>
      <c r="E193" s="152"/>
    </row>
    <row r="194" spans="2:5" ht="18" customHeight="1" x14ac:dyDescent="0.2">
      <c r="B194" s="193" t="s">
        <v>430</v>
      </c>
      <c r="C194" s="151" t="s">
        <v>431</v>
      </c>
      <c r="D194" s="195" t="s">
        <v>835</v>
      </c>
      <c r="E194" s="152"/>
    </row>
    <row r="195" spans="2:5" ht="18" customHeight="1" x14ac:dyDescent="0.2">
      <c r="B195" s="193" t="s">
        <v>430</v>
      </c>
      <c r="C195" s="151" t="s">
        <v>432</v>
      </c>
      <c r="D195" s="195" t="s">
        <v>835</v>
      </c>
      <c r="E195" s="152"/>
    </row>
    <row r="196" spans="2:5" ht="18" customHeight="1" x14ac:dyDescent="0.2">
      <c r="B196" s="193" t="s">
        <v>434</v>
      </c>
      <c r="C196" s="151" t="s">
        <v>435</v>
      </c>
      <c r="D196" s="195" t="s">
        <v>837</v>
      </c>
      <c r="E196" s="152"/>
    </row>
    <row r="197" spans="2:5" ht="18" customHeight="1" x14ac:dyDescent="0.2">
      <c r="B197" s="193" t="s">
        <v>436</v>
      </c>
      <c r="C197" s="151" t="s">
        <v>437</v>
      </c>
      <c r="D197" s="195" t="s">
        <v>838</v>
      </c>
      <c r="E197" s="152"/>
    </row>
    <row r="198" spans="2:5" ht="18" customHeight="1" x14ac:dyDescent="0.2">
      <c r="B198" s="193" t="s">
        <v>438</v>
      </c>
      <c r="C198" s="151" t="s">
        <v>439</v>
      </c>
      <c r="D198" s="195" t="s">
        <v>839</v>
      </c>
      <c r="E198" s="152"/>
    </row>
    <row r="199" spans="2:5" ht="18" customHeight="1" x14ac:dyDescent="0.2">
      <c r="B199" s="193" t="s">
        <v>438</v>
      </c>
      <c r="C199" s="151" t="s">
        <v>440</v>
      </c>
      <c r="D199" s="195" t="s">
        <v>840</v>
      </c>
      <c r="E199" s="152"/>
    </row>
    <row r="200" spans="2:5" ht="18" customHeight="1" x14ac:dyDescent="0.2">
      <c r="B200" s="193" t="s">
        <v>441</v>
      </c>
      <c r="C200" s="151" t="s">
        <v>442</v>
      </c>
      <c r="D200" s="195" t="s">
        <v>835</v>
      </c>
      <c r="E200" s="152"/>
    </row>
    <row r="201" spans="2:5" ht="18" customHeight="1" x14ac:dyDescent="0.2">
      <c r="B201" s="193" t="s">
        <v>443</v>
      </c>
      <c r="C201" s="151" t="s">
        <v>562</v>
      </c>
      <c r="D201" s="195" t="s">
        <v>835</v>
      </c>
      <c r="E201" s="152"/>
    </row>
    <row r="202" spans="2:5" ht="18" customHeight="1" x14ac:dyDescent="0.2">
      <c r="B202" s="193" t="s">
        <v>445</v>
      </c>
      <c r="C202" s="151" t="s">
        <v>446</v>
      </c>
      <c r="D202" s="195" t="s">
        <v>841</v>
      </c>
      <c r="E202" s="152"/>
    </row>
    <row r="203" spans="2:5" ht="18" customHeight="1" x14ac:dyDescent="0.2">
      <c r="B203" s="193" t="s">
        <v>447</v>
      </c>
      <c r="C203" s="151" t="s">
        <v>448</v>
      </c>
      <c r="D203" s="195" t="s">
        <v>842</v>
      </c>
      <c r="E203" s="152"/>
    </row>
    <row r="204" spans="2:5" ht="18" customHeight="1" x14ac:dyDescent="0.2">
      <c r="B204" s="193" t="s">
        <v>450</v>
      </c>
      <c r="C204" s="199" t="s">
        <v>554</v>
      </c>
      <c r="D204" s="195" t="s">
        <v>718</v>
      </c>
      <c r="E204" s="152"/>
    </row>
    <row r="205" spans="2:5" ht="18" customHeight="1" x14ac:dyDescent="0.2">
      <c r="B205" s="193" t="s">
        <v>450</v>
      </c>
      <c r="C205" s="151" t="s">
        <v>843</v>
      </c>
      <c r="D205" s="195" t="s">
        <v>844</v>
      </c>
      <c r="E205" s="152"/>
    </row>
    <row r="206" spans="2:5" ht="18" customHeight="1" x14ac:dyDescent="0.2">
      <c r="B206" s="193" t="s">
        <v>453</v>
      </c>
      <c r="C206" s="151" t="s">
        <v>454</v>
      </c>
      <c r="D206" s="195" t="s">
        <v>845</v>
      </c>
      <c r="E206" s="152"/>
    </row>
    <row r="207" spans="2:5" ht="18" customHeight="1" x14ac:dyDescent="0.2">
      <c r="B207" s="193" t="s">
        <v>453</v>
      </c>
      <c r="C207" s="151" t="s">
        <v>456</v>
      </c>
      <c r="D207" s="195" t="s">
        <v>846</v>
      </c>
      <c r="E207" s="152"/>
    </row>
    <row r="208" spans="2:5" ht="18" customHeight="1" x14ac:dyDescent="0.2">
      <c r="B208" s="193" t="s">
        <v>453</v>
      </c>
      <c r="C208" s="200" t="s">
        <v>458</v>
      </c>
      <c r="D208" s="195" t="s">
        <v>847</v>
      </c>
      <c r="E208" s="152"/>
    </row>
    <row r="209" spans="2:5" ht="18" customHeight="1" x14ac:dyDescent="0.2">
      <c r="B209" s="193" t="s">
        <v>453</v>
      </c>
      <c r="C209" s="151" t="s">
        <v>460</v>
      </c>
      <c r="D209" s="195" t="s">
        <v>848</v>
      </c>
      <c r="E209" s="152"/>
    </row>
    <row r="210" spans="2:5" ht="18" customHeight="1" x14ac:dyDescent="0.2">
      <c r="B210" s="193" t="s">
        <v>461</v>
      </c>
      <c r="C210" s="151" t="s">
        <v>462</v>
      </c>
      <c r="D210" s="195" t="s">
        <v>849</v>
      </c>
      <c r="E210" s="152"/>
    </row>
    <row r="211" spans="2:5" ht="18" customHeight="1" x14ac:dyDescent="0.2">
      <c r="B211" s="193" t="s">
        <v>464</v>
      </c>
      <c r="C211" s="151" t="s">
        <v>465</v>
      </c>
      <c r="D211" s="195" t="s">
        <v>850</v>
      </c>
      <c r="E211" s="152"/>
    </row>
    <row r="212" spans="2:5" ht="18" customHeight="1" x14ac:dyDescent="0.2">
      <c r="B212" s="193" t="s">
        <v>464</v>
      </c>
      <c r="C212" s="151" t="s">
        <v>467</v>
      </c>
      <c r="D212" s="198" t="s">
        <v>854</v>
      </c>
      <c r="E212" s="152"/>
    </row>
    <row r="213" spans="2:5" ht="18" customHeight="1" x14ac:dyDescent="0.2">
      <c r="B213" s="193" t="s">
        <v>464</v>
      </c>
      <c r="C213" s="151" t="s">
        <v>468</v>
      </c>
      <c r="D213" s="195" t="s">
        <v>851</v>
      </c>
      <c r="E213" s="152"/>
    </row>
    <row r="214" spans="2:5" ht="18" customHeight="1" x14ac:dyDescent="0.2">
      <c r="B214" s="193" t="s">
        <v>464</v>
      </c>
      <c r="C214" s="151" t="s">
        <v>469</v>
      </c>
      <c r="D214" s="195" t="s">
        <v>852</v>
      </c>
      <c r="E214" s="152"/>
    </row>
    <row r="215" spans="2:5" ht="18" customHeight="1" x14ac:dyDescent="0.2">
      <c r="B215" s="193" t="s">
        <v>464</v>
      </c>
      <c r="C215" s="151" t="s">
        <v>470</v>
      </c>
      <c r="D215" s="195" t="s">
        <v>853</v>
      </c>
      <c r="E215" s="152"/>
    </row>
    <row r="216" spans="2:5" ht="18" customHeight="1" x14ac:dyDescent="0.2">
      <c r="B216" s="193" t="s">
        <v>471</v>
      </c>
      <c r="C216" s="151" t="s">
        <v>472</v>
      </c>
      <c r="D216" s="195" t="s">
        <v>856</v>
      </c>
      <c r="E216" s="152"/>
    </row>
    <row r="217" spans="2:5" ht="18" customHeight="1" x14ac:dyDescent="0.2">
      <c r="B217" s="193" t="s">
        <v>471</v>
      </c>
      <c r="C217" s="151" t="s">
        <v>474</v>
      </c>
      <c r="D217" s="195" t="s">
        <v>857</v>
      </c>
      <c r="E217" s="152"/>
    </row>
    <row r="218" spans="2:5" ht="18" customHeight="1" x14ac:dyDescent="0.2">
      <c r="B218" s="193" t="s">
        <v>471</v>
      </c>
      <c r="C218" s="151" t="s">
        <v>475</v>
      </c>
      <c r="D218" s="195" t="s">
        <v>858</v>
      </c>
      <c r="E218" s="152"/>
    </row>
    <row r="219" spans="2:5" ht="18" customHeight="1" x14ac:dyDescent="0.2">
      <c r="B219" s="193" t="s">
        <v>471</v>
      </c>
      <c r="C219" s="151" t="s">
        <v>477</v>
      </c>
      <c r="D219" s="195" t="s">
        <v>859</v>
      </c>
      <c r="E219" s="152"/>
    </row>
    <row r="220" spans="2:5" ht="18" customHeight="1" x14ac:dyDescent="0.2">
      <c r="B220" s="193" t="s">
        <v>478</v>
      </c>
      <c r="C220" s="151" t="s">
        <v>479</v>
      </c>
      <c r="D220" s="195" t="s">
        <v>860</v>
      </c>
      <c r="E220" s="152"/>
    </row>
    <row r="221" spans="2:5" ht="18" customHeight="1" x14ac:dyDescent="0.2">
      <c r="B221" s="193" t="s">
        <v>481</v>
      </c>
      <c r="C221" s="151" t="s">
        <v>482</v>
      </c>
      <c r="D221" s="195" t="s">
        <v>860</v>
      </c>
      <c r="E221" s="152"/>
    </row>
    <row r="222" spans="2:5" ht="18" customHeight="1" x14ac:dyDescent="0.2">
      <c r="B222" s="193" t="s">
        <v>481</v>
      </c>
      <c r="C222" s="151" t="s">
        <v>483</v>
      </c>
      <c r="D222" s="195" t="s">
        <v>861</v>
      </c>
      <c r="E222" s="152"/>
    </row>
    <row r="223" spans="2:5" ht="18" customHeight="1" x14ac:dyDescent="0.2">
      <c r="B223" s="193" t="s">
        <v>484</v>
      </c>
      <c r="C223" s="151" t="s">
        <v>485</v>
      </c>
      <c r="D223" s="195" t="s">
        <v>862</v>
      </c>
      <c r="E223" s="152"/>
    </row>
    <row r="224" spans="2:5" ht="18" customHeight="1" x14ac:dyDescent="0.2">
      <c r="B224" s="193" t="s">
        <v>487</v>
      </c>
      <c r="C224" s="151" t="s">
        <v>488</v>
      </c>
      <c r="D224" s="195" t="s">
        <v>863</v>
      </c>
      <c r="E224" s="152"/>
    </row>
    <row r="225" spans="2:5" ht="18" customHeight="1" x14ac:dyDescent="0.2">
      <c r="B225" s="193" t="s">
        <v>490</v>
      </c>
      <c r="C225" s="151" t="s">
        <v>491</v>
      </c>
      <c r="D225" s="195" t="s">
        <v>864</v>
      </c>
      <c r="E225" s="152"/>
    </row>
    <row r="226" spans="2:5" ht="18" customHeight="1" x14ac:dyDescent="0.2">
      <c r="B226" s="193" t="s">
        <v>490</v>
      </c>
      <c r="C226" s="151" t="s">
        <v>493</v>
      </c>
      <c r="D226" s="195" t="s">
        <v>865</v>
      </c>
      <c r="E226" s="152"/>
    </row>
    <row r="227" spans="2:5" ht="18" customHeight="1" x14ac:dyDescent="0.2">
      <c r="B227" s="193" t="s">
        <v>490</v>
      </c>
      <c r="C227" s="151" t="s">
        <v>494</v>
      </c>
      <c r="D227" s="195" t="s">
        <v>866</v>
      </c>
      <c r="E227" s="152"/>
    </row>
    <row r="228" spans="2:5" ht="18" customHeight="1" x14ac:dyDescent="0.2">
      <c r="B228" s="193" t="s">
        <v>490</v>
      </c>
      <c r="C228" s="151" t="s">
        <v>495</v>
      </c>
      <c r="D228" s="195" t="s">
        <v>867</v>
      </c>
      <c r="E228" s="152"/>
    </row>
    <row r="229" spans="2:5" ht="18" customHeight="1" x14ac:dyDescent="0.2">
      <c r="B229" s="193" t="s">
        <v>490</v>
      </c>
      <c r="C229" s="151" t="s">
        <v>496</v>
      </c>
      <c r="D229" s="195" t="s">
        <v>868</v>
      </c>
      <c r="E229" s="152"/>
    </row>
    <row r="230" spans="2:5" ht="18" customHeight="1" x14ac:dyDescent="0.2">
      <c r="B230" s="193" t="s">
        <v>490</v>
      </c>
      <c r="C230" s="151" t="s">
        <v>497</v>
      </c>
      <c r="D230" s="195" t="s">
        <v>869</v>
      </c>
      <c r="E230" s="152"/>
    </row>
    <row r="231" spans="2:5" ht="18" customHeight="1" x14ac:dyDescent="0.2">
      <c r="B231" s="193" t="s">
        <v>490</v>
      </c>
      <c r="C231" s="151" t="s">
        <v>498</v>
      </c>
      <c r="D231" s="195" t="s">
        <v>870</v>
      </c>
      <c r="E231" s="152"/>
    </row>
    <row r="232" spans="2:5" ht="18" customHeight="1" x14ac:dyDescent="0.2">
      <c r="B232" s="193" t="s">
        <v>490</v>
      </c>
      <c r="C232" s="151" t="s">
        <v>499</v>
      </c>
      <c r="D232" s="195" t="s">
        <v>871</v>
      </c>
      <c r="E232" s="152"/>
    </row>
    <row r="233" spans="2:5" ht="18" customHeight="1" x14ac:dyDescent="0.2">
      <c r="B233" s="193" t="s">
        <v>490</v>
      </c>
      <c r="C233" s="151" t="s">
        <v>555</v>
      </c>
      <c r="D233" s="195" t="s">
        <v>872</v>
      </c>
      <c r="E233" s="152"/>
    </row>
    <row r="234" spans="2:5" ht="18" customHeight="1" x14ac:dyDescent="0.2">
      <c r="B234" s="193" t="s">
        <v>490</v>
      </c>
      <c r="C234" s="151" t="s">
        <v>556</v>
      </c>
      <c r="D234" s="195" t="s">
        <v>873</v>
      </c>
      <c r="E234" s="152"/>
    </row>
    <row r="235" spans="2:5" ht="18" customHeight="1" x14ac:dyDescent="0.2">
      <c r="B235" s="193" t="s">
        <v>430</v>
      </c>
      <c r="C235" s="151" t="s">
        <v>500</v>
      </c>
      <c r="D235" s="195" t="s">
        <v>835</v>
      </c>
      <c r="E235" s="152"/>
    </row>
    <row r="236" spans="2:5" ht="18" customHeight="1" x14ac:dyDescent="0.2">
      <c r="B236" s="193" t="s">
        <v>430</v>
      </c>
      <c r="C236" s="151" t="s">
        <v>501</v>
      </c>
      <c r="D236" s="195" t="s">
        <v>874</v>
      </c>
      <c r="E236" s="152"/>
    </row>
    <row r="237" spans="2:5" ht="18" customHeight="1" x14ac:dyDescent="0.2">
      <c r="B237" s="193" t="s">
        <v>430</v>
      </c>
      <c r="C237" s="151" t="s">
        <v>502</v>
      </c>
      <c r="D237" s="195" t="s">
        <v>835</v>
      </c>
      <c r="E237" s="152"/>
    </row>
    <row r="238" spans="2:5" ht="18" customHeight="1" x14ac:dyDescent="0.2">
      <c r="B238" s="193" t="s">
        <v>430</v>
      </c>
      <c r="C238" s="151" t="s">
        <v>569</v>
      </c>
      <c r="D238" s="195" t="s">
        <v>875</v>
      </c>
      <c r="E238" s="152"/>
    </row>
    <row r="239" spans="2:5" ht="18" customHeight="1" x14ac:dyDescent="0.2">
      <c r="B239" s="193" t="s">
        <v>430</v>
      </c>
      <c r="C239" s="151" t="s">
        <v>503</v>
      </c>
      <c r="D239" s="195" t="s">
        <v>876</v>
      </c>
      <c r="E239" s="152"/>
    </row>
    <row r="240" spans="2:5" ht="18" customHeight="1" x14ac:dyDescent="0.2">
      <c r="B240" s="193" t="s">
        <v>430</v>
      </c>
      <c r="C240" s="151" t="s">
        <v>504</v>
      </c>
      <c r="D240" s="195" t="s">
        <v>877</v>
      </c>
      <c r="E240" s="152"/>
    </row>
    <row r="241" spans="2:5" ht="18" customHeight="1" x14ac:dyDescent="0.2">
      <c r="B241" s="193" t="s">
        <v>430</v>
      </c>
      <c r="C241" s="151" t="s">
        <v>505</v>
      </c>
      <c r="D241" s="195" t="s">
        <v>878</v>
      </c>
      <c r="E241" s="152"/>
    </row>
    <row r="242" spans="2:5" ht="18" customHeight="1" x14ac:dyDescent="0.2">
      <c r="B242" s="193" t="s">
        <v>430</v>
      </c>
      <c r="C242" s="151" t="s">
        <v>558</v>
      </c>
      <c r="D242" s="195" t="s">
        <v>879</v>
      </c>
      <c r="E242" s="152"/>
    </row>
    <row r="243" spans="2:5" ht="18" customHeight="1" x14ac:dyDescent="0.2">
      <c r="B243" s="193" t="s">
        <v>430</v>
      </c>
      <c r="C243" s="151" t="s">
        <v>559</v>
      </c>
      <c r="D243" s="195" t="s">
        <v>835</v>
      </c>
      <c r="E243" s="152"/>
    </row>
    <row r="244" spans="2:5" ht="18" customHeight="1" x14ac:dyDescent="0.2">
      <c r="B244" s="193" t="s">
        <v>430</v>
      </c>
      <c r="C244" s="151" t="s">
        <v>506</v>
      </c>
      <c r="D244" s="195" t="s">
        <v>880</v>
      </c>
      <c r="E244" s="152"/>
    </row>
    <row r="245" spans="2:5" ht="18" customHeight="1" x14ac:dyDescent="0.2">
      <c r="B245" s="193" t="s">
        <v>430</v>
      </c>
      <c r="C245" s="151" t="s">
        <v>507</v>
      </c>
      <c r="D245" s="195" t="s">
        <v>881</v>
      </c>
      <c r="E245" s="152"/>
    </row>
    <row r="246" spans="2:5" ht="18" customHeight="1" x14ac:dyDescent="0.2">
      <c r="B246" s="193" t="s">
        <v>430</v>
      </c>
      <c r="C246" s="151" t="s">
        <v>508</v>
      </c>
      <c r="D246" s="195" t="s">
        <v>882</v>
      </c>
      <c r="E246" s="152"/>
    </row>
    <row r="247" spans="2:5" ht="18" customHeight="1" x14ac:dyDescent="0.2">
      <c r="B247" s="193" t="s">
        <v>430</v>
      </c>
      <c r="C247" s="196" t="s">
        <v>509</v>
      </c>
      <c r="D247" s="195" t="s">
        <v>883</v>
      </c>
      <c r="E247" s="152"/>
    </row>
    <row r="248" spans="2:5" ht="18" customHeight="1" x14ac:dyDescent="0.2">
      <c r="B248" s="193" t="s">
        <v>430</v>
      </c>
      <c r="C248" s="151" t="s">
        <v>510</v>
      </c>
      <c r="D248" s="195" t="s">
        <v>884</v>
      </c>
      <c r="E248" s="152"/>
    </row>
    <row r="249" spans="2:5" ht="18" customHeight="1" x14ac:dyDescent="0.2">
      <c r="B249" s="193" t="s">
        <v>430</v>
      </c>
      <c r="C249" s="151" t="s">
        <v>560</v>
      </c>
      <c r="D249" s="195" t="s">
        <v>885</v>
      </c>
      <c r="E249" s="152"/>
    </row>
    <row r="250" spans="2:5" ht="18" customHeight="1" x14ac:dyDescent="0.2">
      <c r="B250" s="193" t="s">
        <v>430</v>
      </c>
      <c r="C250" s="151" t="s">
        <v>511</v>
      </c>
      <c r="D250" s="195" t="s">
        <v>835</v>
      </c>
      <c r="E250" s="152"/>
    </row>
    <row r="251" spans="2:5" ht="18" customHeight="1" x14ac:dyDescent="0.2">
      <c r="B251" s="193" t="s">
        <v>430</v>
      </c>
      <c r="C251" s="151" t="s">
        <v>561</v>
      </c>
      <c r="D251" s="195" t="s">
        <v>886</v>
      </c>
      <c r="E251" s="152"/>
    </row>
    <row r="252" spans="2:5" ht="18" customHeight="1" x14ac:dyDescent="0.2">
      <c r="B252" s="193" t="s">
        <v>430</v>
      </c>
      <c r="C252" s="151" t="s">
        <v>512</v>
      </c>
      <c r="D252" s="195" t="s">
        <v>887</v>
      </c>
      <c r="E252" s="152"/>
    </row>
    <row r="253" spans="2:5" ht="18" customHeight="1" x14ac:dyDescent="0.2">
      <c r="B253" s="193" t="s">
        <v>430</v>
      </c>
      <c r="C253" s="151" t="s">
        <v>513</v>
      </c>
      <c r="D253" s="195" t="s">
        <v>888</v>
      </c>
      <c r="E253" s="152"/>
    </row>
    <row r="254" spans="2:5" ht="18" customHeight="1" x14ac:dyDescent="0.2">
      <c r="B254" s="193" t="s">
        <v>430</v>
      </c>
      <c r="C254" s="151" t="s">
        <v>514</v>
      </c>
      <c r="D254" s="195" t="s">
        <v>835</v>
      </c>
      <c r="E254" s="152"/>
    </row>
    <row r="255" spans="2:5" ht="18" customHeight="1" x14ac:dyDescent="0.2">
      <c r="B255" s="193" t="s">
        <v>430</v>
      </c>
      <c r="C255" s="151" t="s">
        <v>515</v>
      </c>
      <c r="D255" s="195" t="s">
        <v>835</v>
      </c>
      <c r="E255" s="152"/>
    </row>
    <row r="256" spans="2:5" ht="18" customHeight="1" x14ac:dyDescent="0.2">
      <c r="B256" s="193" t="s">
        <v>430</v>
      </c>
      <c r="C256" s="151" t="s">
        <v>516</v>
      </c>
      <c r="D256" s="195" t="s">
        <v>889</v>
      </c>
      <c r="E256" s="152"/>
    </row>
    <row r="257" spans="2:5" ht="18" customHeight="1" x14ac:dyDescent="0.2">
      <c r="B257" s="193" t="s">
        <v>430</v>
      </c>
      <c r="C257" s="151" t="s">
        <v>517</v>
      </c>
      <c r="D257" s="195" t="s">
        <v>835</v>
      </c>
      <c r="E257" s="152"/>
    </row>
  </sheetData>
  <sheetProtection algorithmName="SHA-512" hashValue="CMiubel7ON0JkkSxxTmgOEHmDf7cNozEK221pYLKnsK8x9uMTrJ49zufFG3WxqVt+Vnk3Nxa9PSQ/Gw7jnyZqA==" saltValue="SLwg9SUWsCwd0B0XukcZVQ==" spinCount="100000" sheet="1" objects="1" scenarios="1"/>
  <phoneticPr fontId="9" type="noConversion"/>
  <hyperlinks>
    <hyperlink ref="D3" r:id="rId1" xr:uid="{B173E80F-BED2-43DC-AF75-2556074A1D63}"/>
    <hyperlink ref="D4" r:id="rId2" xr:uid="{FCCED86B-FE82-4286-A1FF-A793510EA13D}"/>
    <hyperlink ref="D5" r:id="rId3" xr:uid="{B726C993-757B-4465-850D-23EC2C6E4941}"/>
    <hyperlink ref="D6" r:id="rId4" xr:uid="{FE459E13-FDF6-49B3-B63F-130CA4DA770A}"/>
    <hyperlink ref="D7" r:id="rId5" xr:uid="{A9D9CB4E-DD9D-4E1C-A35B-D3F472FCB3B8}"/>
    <hyperlink ref="D8" r:id="rId6" xr:uid="{9054F7F1-B9ED-4D7C-A9B7-AE5A41147DDC}"/>
    <hyperlink ref="D9" r:id="rId7" xr:uid="{075A456D-A45A-457F-A5F6-2D044C0A3BAD}"/>
    <hyperlink ref="D10" r:id="rId8" xr:uid="{53833BE1-1A7B-4861-A01A-FD4CA6EE366F}"/>
    <hyperlink ref="D11" r:id="rId9" xr:uid="{4AE16CDD-B9B6-405B-A0B9-A64E6AC86C1B}"/>
    <hyperlink ref="D12" r:id="rId10" xr:uid="{8FC509C5-383A-42B9-88CD-B47437FB4B1A}"/>
    <hyperlink ref="D13" r:id="rId11" xr:uid="{29EEEECD-3489-465A-ACCB-7466FA8CD126}"/>
    <hyperlink ref="D14" r:id="rId12" xr:uid="{4039BF1E-8ACE-4315-8442-B8665F5CE653}"/>
    <hyperlink ref="D15" r:id="rId13" xr:uid="{EACC94E0-040C-405E-AEB7-B74602F0EA0E}"/>
    <hyperlink ref="D16" r:id="rId14" xr:uid="{97F18FF5-D5B5-40EE-856F-44A691A84BE5}"/>
    <hyperlink ref="D17" r:id="rId15" xr:uid="{D8ABF4FB-6D69-4C74-A74A-8A77B077FFB6}"/>
    <hyperlink ref="D18" r:id="rId16" xr:uid="{3167A9A1-4D76-48A1-8BC3-E546E35A1F71}"/>
    <hyperlink ref="D19" r:id="rId17" xr:uid="{8BCD811F-926E-4C3C-AFFC-DAF7A95D966B}"/>
    <hyperlink ref="D20" r:id="rId18" xr:uid="{1F38B664-3BCD-4303-9E27-BBCB17A49FDD}"/>
    <hyperlink ref="D21" r:id="rId19" xr:uid="{31EE75CA-7C49-4AF9-B8B2-436E9936EF30}"/>
    <hyperlink ref="D22" r:id="rId20" xr:uid="{F6690252-48CB-451F-A09E-5692F276360B}"/>
    <hyperlink ref="D23" r:id="rId21" xr:uid="{340364BF-8BC8-4554-93D3-69B966CC9DA6}"/>
    <hyperlink ref="D24" r:id="rId22" xr:uid="{228F6C24-963E-4ABB-8A7C-B8AD7F0BC029}"/>
    <hyperlink ref="D25" r:id="rId23" xr:uid="{9725E4BB-B185-4F27-8836-8D6D384B0249}"/>
    <hyperlink ref="D29" r:id="rId24" xr:uid="{786B5719-E4E0-46DB-8E6D-98AA849C6E1F}"/>
    <hyperlink ref="D28" r:id="rId25" xr:uid="{202A7B3A-0083-4C40-BE81-694ED4E89BFE}"/>
    <hyperlink ref="D27" r:id="rId26" xr:uid="{4A832F0F-4A55-4310-AED2-977786134BD4}"/>
    <hyperlink ref="D26" r:id="rId27" xr:uid="{67D56FD3-2BDF-4445-B3E0-6E991C741AD4}"/>
    <hyperlink ref="D33" r:id="rId28" xr:uid="{83E6436F-EC64-41B6-9820-757B4B81EC9B}"/>
    <hyperlink ref="D32" r:id="rId29" xr:uid="{378645E3-2648-4136-B40D-EDA367C9F37B}"/>
    <hyperlink ref="D31" r:id="rId30" xr:uid="{BFBCB785-1DAF-4915-8DBA-587DA3B792BA}"/>
    <hyperlink ref="D30" r:id="rId31" xr:uid="{A8D9B420-2BDE-4B7E-AD30-08D54C930CEB}"/>
    <hyperlink ref="D34" r:id="rId32" xr:uid="{D43B759D-66ED-43F2-AA62-43EF39CC8AEA}"/>
    <hyperlink ref="D35" r:id="rId33" xr:uid="{59875680-337B-48AB-9C42-B6040755E0FF}"/>
    <hyperlink ref="D37" r:id="rId34" xr:uid="{888C14E0-AA64-4DBE-8548-D929E6306614}"/>
    <hyperlink ref="D38" r:id="rId35" xr:uid="{F9DA1540-9A7C-4929-98F5-E69CCF3CB3ED}"/>
    <hyperlink ref="D39" r:id="rId36" xr:uid="{DB136220-C70C-4EBE-BCB9-51EFBF8E1E1E}"/>
    <hyperlink ref="D40" r:id="rId37" xr:uid="{8447A21F-BD33-4170-BE87-606808120B5E}"/>
    <hyperlink ref="D42" r:id="rId38" xr:uid="{ED1C4256-FDEF-450B-ACD9-BC7DEC17B17D}"/>
    <hyperlink ref="D41" r:id="rId39" xr:uid="{136272BF-2375-481D-B593-2D3D2037C4D6}"/>
    <hyperlink ref="D43" r:id="rId40" xr:uid="{3F394AFC-E3EB-4C9D-B030-DE6155F332C0}"/>
    <hyperlink ref="D45" r:id="rId41" xr:uid="{DB577855-473E-4E6D-BFF2-7C908F7176F5}"/>
    <hyperlink ref="D46" r:id="rId42" xr:uid="{BEFFD005-9269-4B45-ACF4-8E64009AB828}"/>
    <hyperlink ref="D47" r:id="rId43" xr:uid="{8ABC1B44-169E-4C6B-8AEE-901802603C22}"/>
    <hyperlink ref="D48" r:id="rId44" xr:uid="{B05D6B56-A78D-455E-887C-11E1DD5BA7EF}"/>
    <hyperlink ref="D49" r:id="rId45" xr:uid="{5B68E275-6ABC-4E8A-A08C-FF89459EB748}"/>
    <hyperlink ref="D51" r:id="rId46" xr:uid="{3CB9E9E2-A16A-40E2-B32D-F247415507B1}"/>
    <hyperlink ref="D50" r:id="rId47" xr:uid="{CB524CB2-0905-4E86-AD63-7F037D4726F6}"/>
    <hyperlink ref="D52" r:id="rId48" xr:uid="{1E4BE31E-CB4E-4CBC-BCEE-0CCB37D05D24}"/>
    <hyperlink ref="D53" r:id="rId49" xr:uid="{E1D91967-E3F8-4C23-8536-827E10FE6C76}"/>
    <hyperlink ref="D54" r:id="rId50" xr:uid="{073C9599-FF6D-4E51-96E3-F357DFBF8863}"/>
    <hyperlink ref="D55" r:id="rId51" xr:uid="{3CB05266-8D9C-47F5-B893-22953A8D2932}"/>
    <hyperlink ref="D56" r:id="rId52" xr:uid="{215C10B9-9A13-4660-8F16-0B7DA3CCA29D}"/>
    <hyperlink ref="D57" r:id="rId53" xr:uid="{422B4E68-B853-411D-B0C9-F1B3500CB211}"/>
    <hyperlink ref="D58" r:id="rId54" xr:uid="{4F01523B-AB35-49BE-AA20-EB09B05EBE99}"/>
    <hyperlink ref="D59" r:id="rId55" xr:uid="{FD94F8BE-0B2C-4E17-87CB-671E14D734DC}"/>
    <hyperlink ref="D60" r:id="rId56" xr:uid="{22FCF4CF-9CC3-4EBB-B259-51B0A613B20D}"/>
    <hyperlink ref="D61" r:id="rId57" xr:uid="{09F91A72-3EF0-41B7-8140-4801F98CE9E2}"/>
    <hyperlink ref="D62" r:id="rId58" xr:uid="{982C7AA7-410B-4782-A9E8-37C8FB723C8C}"/>
    <hyperlink ref="D63" r:id="rId59" xr:uid="{39F01C5A-2276-42C4-A0A7-8E75A14CDC9B}"/>
    <hyperlink ref="D65" r:id="rId60" xr:uid="{0648DE0B-6726-469D-A2E6-ED24D54BB2FC}"/>
    <hyperlink ref="D66" r:id="rId61" xr:uid="{2240D30B-839C-4665-BB85-07A4CF8F7D14}"/>
    <hyperlink ref="D68" r:id="rId62" xr:uid="{8DD96D22-289B-497F-84F7-2BBD9417AB7C}"/>
    <hyperlink ref="D69" r:id="rId63" xr:uid="{F43726CA-0CBC-4ED6-8563-ABAB2B3E6B04}"/>
    <hyperlink ref="D70" r:id="rId64" xr:uid="{21545D0C-B85C-49AA-B3FB-D899D298EA61}"/>
    <hyperlink ref="D71" r:id="rId65" xr:uid="{F68B5C0C-EF0A-4E8C-92D3-ECD1749AB5E7}"/>
    <hyperlink ref="D72" r:id="rId66" xr:uid="{E24AAE0A-E948-4E98-9B9F-E83EAEA5A766}"/>
    <hyperlink ref="D74" r:id="rId67" xr:uid="{145985C5-70E2-44B5-9AE4-12139CEC0980}"/>
    <hyperlink ref="D73" r:id="rId68" xr:uid="{1AA32B04-58CF-443C-827F-8BAC6A1C78BC}"/>
    <hyperlink ref="D79" r:id="rId69" xr:uid="{01C94039-3E70-497D-8816-C46304178F49}"/>
    <hyperlink ref="D80" r:id="rId70" xr:uid="{9AB6906D-74B6-4101-9E88-DACEB19BBC50}"/>
    <hyperlink ref="D81" r:id="rId71" xr:uid="{5FD400D5-DD1F-4731-8DC2-88BC5B49EAF7}"/>
    <hyperlink ref="D82" r:id="rId72" xr:uid="{6162105C-761A-4E84-8EE1-53B5612E846C}"/>
    <hyperlink ref="D75" r:id="rId73" xr:uid="{588CD26E-0F0A-4458-9CC0-4B8CBEBF8525}"/>
    <hyperlink ref="D76" r:id="rId74" xr:uid="{01500B77-3D8B-42BF-90D2-69E7F5C83F78}"/>
    <hyperlink ref="D77" r:id="rId75" xr:uid="{A6AD9508-DD93-4634-9DAA-921D77C419F4}"/>
    <hyperlink ref="D78" r:id="rId76" xr:uid="{C21E7F1D-82C4-49B9-A65A-9532948DCC59}"/>
    <hyperlink ref="D83" r:id="rId77" xr:uid="{4B91DA1E-9587-475B-AA94-C749B06CD2DF}"/>
    <hyperlink ref="D84" r:id="rId78" xr:uid="{727F27DA-35B3-4049-826E-5C6AB4EC552C}"/>
    <hyperlink ref="D85" r:id="rId79" xr:uid="{EFCD4CAB-52AD-4CC3-B88B-4D180272EA94}"/>
    <hyperlink ref="D86" r:id="rId80" xr:uid="{C9E9BF73-7657-4DB8-955B-08447BB4816A}"/>
    <hyperlink ref="D87" r:id="rId81" xr:uid="{2AD8322F-2125-4217-AF0C-387E0FF8B67C}"/>
    <hyperlink ref="D88" r:id="rId82" xr:uid="{7A99B258-963B-4F61-90B8-08017D18D849}"/>
    <hyperlink ref="D89" r:id="rId83" xr:uid="{3279D0EC-E9D6-4B11-BB42-6FFEAD4141EB}"/>
    <hyperlink ref="D90" r:id="rId84" xr:uid="{542D9551-D1B9-496C-9951-792A89A91B87}"/>
    <hyperlink ref="D91" r:id="rId85" xr:uid="{5861F8C7-5C50-4182-94BF-07EA8C08BFF6}"/>
    <hyperlink ref="D92" r:id="rId86" xr:uid="{A49A1B79-D9FA-4282-B7AB-09599F51C830}"/>
    <hyperlink ref="D93" r:id="rId87" xr:uid="{9488B336-E800-442A-A71A-112FD62F9AB6}"/>
    <hyperlink ref="D94" r:id="rId88" xr:uid="{D2511772-D4E2-407C-9601-81D9EF15EC80}"/>
    <hyperlink ref="D95" r:id="rId89" xr:uid="{605D9E7A-149C-45E2-AF27-5C19D6C59B20}"/>
    <hyperlink ref="D96" r:id="rId90" xr:uid="{435BA6E3-7F57-420D-A7A4-8F43EEF1E9EE}"/>
    <hyperlink ref="D97" r:id="rId91" xr:uid="{0C74E113-9F94-4E5F-93B7-5BB2956D1634}"/>
    <hyperlink ref="D98" r:id="rId92" xr:uid="{CA8E06E6-9536-485B-B6BD-E538501278FA}"/>
    <hyperlink ref="D99:D103" r:id="rId93" display="TAV Airports Financial Statement for 2018" xr:uid="{01EC1798-30B6-458D-96E4-2F7A68CBCC56}"/>
    <hyperlink ref="D105" r:id="rId94" xr:uid="{F056A988-A75D-429D-B1BF-614BFE36E54E}"/>
    <hyperlink ref="D106" r:id="rId95" xr:uid="{FF2155A9-7DFE-4463-B5A6-E781937972F6}"/>
    <hyperlink ref="D107" r:id="rId96" xr:uid="{C35F6D0F-0E96-41ED-A2B0-55A3FD8DA1F9}"/>
    <hyperlink ref="D108" r:id="rId97" xr:uid="{1385D7F0-A207-4960-9B96-F3D3F502C811}"/>
    <hyperlink ref="D109" r:id="rId98" xr:uid="{0218F801-B265-4762-8E6D-9B4A33446595}"/>
    <hyperlink ref="D110" r:id="rId99" xr:uid="{A282652C-E132-4889-90D1-14FC233447C0}"/>
    <hyperlink ref="D111" r:id="rId100" xr:uid="{82E91691-5B41-455D-8554-AAF4014FF95F}"/>
    <hyperlink ref="D112" r:id="rId101" xr:uid="{170FCA62-D931-4600-A76B-9C31D850B982}"/>
    <hyperlink ref="D113" r:id="rId102" xr:uid="{589BFD1D-51F2-4A03-BAF6-D02CC2792DA7}"/>
    <hyperlink ref="D114" r:id="rId103" xr:uid="{58237246-F5CD-4C0B-9C41-37E721E32B0F}"/>
    <hyperlink ref="D115" r:id="rId104" xr:uid="{1C1FF23D-9824-412F-BDE4-85A43C36F400}"/>
    <hyperlink ref="D116" r:id="rId105" xr:uid="{F709FA03-82F7-429C-969C-975E931A72E4}"/>
    <hyperlink ref="D117" r:id="rId106" xr:uid="{9899325A-B6C5-4C95-8C06-C2FF4CCAA89B}"/>
    <hyperlink ref="D118" r:id="rId107" xr:uid="{943B5DDA-73EC-4F4D-9E9A-60F967016449}"/>
    <hyperlink ref="D119" r:id="rId108" xr:uid="{1A4D2AF9-15BC-4ED2-AFA7-4910363A17A8}"/>
    <hyperlink ref="D120" r:id="rId109" xr:uid="{A3FE60BE-60FB-43ED-8B12-705DD6442D89}"/>
    <hyperlink ref="D121" r:id="rId110" xr:uid="{6A6F59CD-E53C-44EB-B991-56FB43AF5A99}"/>
    <hyperlink ref="D122" r:id="rId111" xr:uid="{6347B7F8-056C-4E6D-83FE-DAB122B30DB1}"/>
    <hyperlink ref="D123" r:id="rId112" xr:uid="{4C9857E2-2ACF-4037-90F6-7BA50DD0535A}"/>
    <hyperlink ref="D124" r:id="rId113" xr:uid="{CEA28662-3048-4EA0-9097-BEC7AED34715}"/>
    <hyperlink ref="D125" r:id="rId114" xr:uid="{A7ADA5F5-F595-48F4-9AAB-9A012DCAA247}"/>
    <hyperlink ref="D126" r:id="rId115" xr:uid="{98059BDD-DA8E-4D7B-8A77-7A3A1DE8B653}"/>
    <hyperlink ref="D127" r:id="rId116" xr:uid="{68B08835-87AF-4878-BC7B-73DD73E335A7}"/>
    <hyperlink ref="D128" r:id="rId117" xr:uid="{A08BD567-95AC-4582-97D7-C431B5876C45}"/>
    <hyperlink ref="D129" r:id="rId118" xr:uid="{1C0527AE-DAE7-4B56-8CF3-689288FE8315}"/>
    <hyperlink ref="D130" r:id="rId119" xr:uid="{EBD9C9A5-A3A9-454B-BCF6-8404D7B5007B}"/>
    <hyperlink ref="D131" r:id="rId120" xr:uid="{B46014CA-1F04-41EC-B43D-B30B08943FBF}"/>
    <hyperlink ref="D132" r:id="rId121" xr:uid="{0B0858F6-2003-49D1-A3A3-8444F8EAE5C2}"/>
    <hyperlink ref="D133" r:id="rId122" xr:uid="{3E183222-F48C-4CE0-8AE9-5B11F29A9928}"/>
    <hyperlink ref="D134" r:id="rId123" xr:uid="{A42B720B-F6B0-48D9-956B-89F70882CBE8}"/>
    <hyperlink ref="D135" r:id="rId124" xr:uid="{C91CC3FD-97AC-41C4-9F44-7837CC133AC5}"/>
    <hyperlink ref="D136" r:id="rId125" xr:uid="{6562F6FC-1A98-4679-B178-D02594A6D5AC}"/>
    <hyperlink ref="D137" r:id="rId126" xr:uid="{15B1EB28-3BEC-4177-9B82-E264358B8F0D}"/>
    <hyperlink ref="D138" r:id="rId127" xr:uid="{00F49AC9-9D0F-42B5-BCF6-CFC56EF31688}"/>
    <hyperlink ref="D139" r:id="rId128" xr:uid="{1C40D137-6FE0-4F0B-B79A-2266D3218C45}"/>
    <hyperlink ref="D140" r:id="rId129" xr:uid="{F97C746B-8AA3-438A-9E29-00306ED37594}"/>
    <hyperlink ref="D141" r:id="rId130" xr:uid="{B1F3AF82-DD80-4A07-A26D-743106B3C022}"/>
    <hyperlink ref="D142" r:id="rId131" xr:uid="{198A9E4C-2D82-455B-9EAA-09950AD54B22}"/>
    <hyperlink ref="D143" r:id="rId132" xr:uid="{A7791B5C-D1C7-4ACA-849F-77EF5EF16F64}"/>
    <hyperlink ref="D144" r:id="rId133" xr:uid="{DB9DC717-E315-45F9-B09C-99D87403D4A0}"/>
    <hyperlink ref="D145" r:id="rId134" xr:uid="{B331393A-F347-4197-B3A2-8347E3DCF6BD}"/>
    <hyperlink ref="D146" r:id="rId135" xr:uid="{B05EE444-8D97-49CA-998B-81E9B3B19E81}"/>
    <hyperlink ref="D147" r:id="rId136" xr:uid="{27E0678E-5890-47EE-97E7-B5A6C5FC1308}"/>
    <hyperlink ref="D148" r:id="rId137" xr:uid="{1265D33F-6243-4539-8281-0AAB1A17EC79}"/>
    <hyperlink ref="D149:D151" r:id="rId138" display="Manchester Airport Group Annual Report for Year ending March 2019" xr:uid="{1F2CD568-B436-45E9-84AF-279DAF026462}"/>
    <hyperlink ref="D152" r:id="rId139" xr:uid="{0D3A465F-EA57-475D-9E6E-9DD7DD4B0FCF}"/>
    <hyperlink ref="D153" r:id="rId140" xr:uid="{7310520E-5DF3-4E47-9848-4839B656B21B}"/>
    <hyperlink ref="D154" r:id="rId141" xr:uid="{FAC839BC-ACC7-4411-952F-584A0B76464D}"/>
    <hyperlink ref="D155" r:id="rId142" location="_ga=2.205714065.327317312.1561877006-1916038243.1561877006" xr:uid="{0D68B4C5-4A93-4F72-99B8-8634D924E9DE}"/>
    <hyperlink ref="D156" r:id="rId143" xr:uid="{C32B114D-DFEA-4E2E-9D14-716772CCA11E}"/>
    <hyperlink ref="D157" r:id="rId144" xr:uid="{DE709891-34C6-4288-AC1D-5D2A93CF2074}"/>
    <hyperlink ref="D158" r:id="rId145" xr:uid="{EFD42F6E-D76C-4155-8F52-95EA39A2C76D}"/>
    <hyperlink ref="D159" r:id="rId146" xr:uid="{D2EB8E55-4601-42EF-A001-B565C3C565AD}"/>
    <hyperlink ref="D160" r:id="rId147" xr:uid="{18858675-E11C-4B75-AFCE-26DFCF68C010}"/>
    <hyperlink ref="D161" r:id="rId148" xr:uid="{C0DCBD20-6E06-40C1-AC30-4E0676BB1697}"/>
    <hyperlink ref="D162" r:id="rId149" xr:uid="{33DF304E-5CD2-412E-A2C0-D898915F8A0D}"/>
    <hyperlink ref="D163" r:id="rId150" xr:uid="{B8868CAF-F361-4287-BAE0-5ABE10C4DF12}"/>
    <hyperlink ref="D164" r:id="rId151" xr:uid="{1BDB43AE-C728-428E-ACD4-38263E6E506E}"/>
    <hyperlink ref="D165" r:id="rId152" xr:uid="{6155D14E-1B43-401F-8571-420481EDD198}"/>
    <hyperlink ref="D166" r:id="rId153" xr:uid="{C70E9D04-C815-4A3D-BF6B-B95E49940C9F}"/>
    <hyperlink ref="D167" r:id="rId154" xr:uid="{83896D69-08A5-4069-A447-FA930B8A61B8}"/>
    <hyperlink ref="D168" r:id="rId155" xr:uid="{78871F11-B840-4C4A-A79B-EA7F68EF8E90}"/>
    <hyperlink ref="D169" r:id="rId156" xr:uid="{FCCF98E3-D5B9-4E19-BF8D-666174059943}"/>
    <hyperlink ref="D170" r:id="rId157" xr:uid="{D852F48A-FAF7-4F33-9E68-7015140B5C69}"/>
    <hyperlink ref="D171" r:id="rId158" xr:uid="{B0985043-D270-4E47-A742-B4B6B70358B2}"/>
    <hyperlink ref="D172" r:id="rId159" xr:uid="{04916D37-F0E8-4783-8EB8-018AFB53A7C3}"/>
    <hyperlink ref="D173" r:id="rId160" xr:uid="{F4E3A34C-CB73-4FF0-9D0D-64702E1B7F29}"/>
    <hyperlink ref="D174" r:id="rId161" xr:uid="{C7019F0B-C5FF-4265-9E5D-8778C7507E80}"/>
    <hyperlink ref="D175" r:id="rId162" xr:uid="{C01A5B38-A5AD-4F65-B6DF-8BAC112047C0}"/>
    <hyperlink ref="D176" r:id="rId163" xr:uid="{FA152DA4-D86E-4AB4-A366-FC9117B5ED6D}"/>
    <hyperlink ref="D177" r:id="rId164" xr:uid="{906DFF0A-D713-4E1F-8620-A19C6B79B4D7}"/>
    <hyperlink ref="D178" r:id="rId165" xr:uid="{8EE068F1-B156-4367-81D0-EBA1A5B54B44}"/>
    <hyperlink ref="D179" r:id="rId166" xr:uid="{F0424AE2-967D-455D-806E-A2F19F128532}"/>
    <hyperlink ref="D180" r:id="rId167" xr:uid="{C2D37423-96A4-49CC-AA81-D019AF7D891D}"/>
    <hyperlink ref="D181" r:id="rId168" xr:uid="{28C54D54-3462-483C-9077-94EAA93CD2B8}"/>
    <hyperlink ref="D182" r:id="rId169" xr:uid="{B4A91486-F4CA-4FDA-8F77-250D0C7CECD4}"/>
    <hyperlink ref="D183" r:id="rId170" xr:uid="{4F1D077A-8CE5-460F-AFDF-B7435CE0201B}"/>
    <hyperlink ref="D184" r:id="rId171" xr:uid="{06AC3E98-3578-49E1-9D6F-85F4546175C3}"/>
    <hyperlink ref="D191" r:id="rId172" xr:uid="{5187FC8E-5430-4FCF-923E-7940BA863303}"/>
    <hyperlink ref="D185" r:id="rId173" xr:uid="{6B613F60-7CA6-44AE-AA9C-F0C1AC1C239D}"/>
    <hyperlink ref="D186" r:id="rId174" xr:uid="{22A64EAD-362F-47E4-865E-F4FF6C3BF932}"/>
    <hyperlink ref="D187" r:id="rId175" xr:uid="{7FD45B2A-0AC7-4961-8F15-0C41570994B4}"/>
    <hyperlink ref="D188" r:id="rId176" xr:uid="{3AC1A89B-06DC-40DF-8C0B-260BA0D041BE}"/>
    <hyperlink ref="D189" r:id="rId177" xr:uid="{FB351664-2E6B-4EC9-A6C7-EB089CE69404}"/>
    <hyperlink ref="D190" r:id="rId178" xr:uid="{262FC47E-E3AC-46E0-95EE-724CE5F3049F}"/>
    <hyperlink ref="D192" r:id="rId179" xr:uid="{3E66A63B-DB6F-4FA2-827F-61FA7A589289}"/>
    <hyperlink ref="D194" r:id="rId180" xr:uid="{33E823A8-61F3-4162-92AB-C1E8309DF59D}"/>
    <hyperlink ref="D195" r:id="rId181" xr:uid="{2CA51510-DA86-49F8-89AA-2B2BAB6B3BE5}"/>
    <hyperlink ref="D193" r:id="rId182" xr:uid="{D5CC2770-D5A9-49DE-BD3B-4D3EEB54AB9A}"/>
    <hyperlink ref="D200" r:id="rId183" xr:uid="{1AF5E91B-2F66-47EE-898C-AE24B01F244E}"/>
    <hyperlink ref="D201" r:id="rId184" xr:uid="{B5F8A9C2-1ABE-430D-BB26-DC76AA1E8921}"/>
    <hyperlink ref="D196" r:id="rId185" xr:uid="{A2ECF222-8470-466C-9DCB-A846A35B637F}"/>
    <hyperlink ref="D197" r:id="rId186" xr:uid="{90888A26-9F3C-4F48-854A-885B50DD67B1}"/>
    <hyperlink ref="D198" r:id="rId187" xr:uid="{2A045B7A-AB1E-45AD-A837-ABF70B4C311E}"/>
    <hyperlink ref="D199" r:id="rId188" xr:uid="{2C48071E-41B5-4650-86D1-AD06FDF144B5}"/>
    <hyperlink ref="D202" r:id="rId189" xr:uid="{7B08D7FC-6B28-4779-97CB-18BEA36CC429}"/>
    <hyperlink ref="D203" r:id="rId190" xr:uid="{DD8B67FB-F400-4DCA-9015-05D494BEA7B6}"/>
    <hyperlink ref="D204" r:id="rId191" xr:uid="{9C221DA8-112A-48D9-B1DA-9DB3F1825518}"/>
    <hyperlink ref="D205" r:id="rId192" xr:uid="{90F6BCBE-B35E-4132-872A-C1B2DA7FABB4}"/>
    <hyperlink ref="D206" r:id="rId193" xr:uid="{C29F6779-2557-4F5F-8571-02902089AA8A}"/>
    <hyperlink ref="D207" r:id="rId194" xr:uid="{A4843FC9-727F-40CA-BB56-FBD534C0DBD9}"/>
    <hyperlink ref="D208" r:id="rId195" xr:uid="{20F1AEE7-7A18-4C6C-906E-87EAFCA188F6}"/>
    <hyperlink ref="D209" r:id="rId196" xr:uid="{A3D09CEF-23E6-491A-8E93-F8CF477872E7}"/>
    <hyperlink ref="D210" r:id="rId197" xr:uid="{5B3486B5-C65D-46A1-BD6A-AB3008B700DB}"/>
    <hyperlink ref="D213" r:id="rId198" xr:uid="{9B256728-BA57-46ED-ADE5-59437FE669B5}"/>
    <hyperlink ref="D212" r:id="rId199" xr:uid="{6A13FBDE-5706-446D-A115-D5A00CA35C38}"/>
    <hyperlink ref="D214" r:id="rId200" xr:uid="{A7F196A6-D50E-49E0-A202-B6BBCD932DDD}"/>
    <hyperlink ref="D211" r:id="rId201" xr:uid="{56673832-28FD-4605-B1B5-8AB4EECE0A40}"/>
    <hyperlink ref="D215" r:id="rId202" xr:uid="{986E490E-5C6F-4F1B-9F2D-B5257A6D622D}"/>
    <hyperlink ref="D36" r:id="rId203" xr:uid="{421C7CAD-A6CF-445D-ACA6-494D379CFF47}"/>
    <hyperlink ref="D216" r:id="rId204" xr:uid="{D3135829-D5ED-4495-B7B1-1A034CF5A903}"/>
    <hyperlink ref="D217" r:id="rId205" xr:uid="{30B85C7A-B412-452A-80A6-803A4B559FFA}"/>
    <hyperlink ref="D218" r:id="rId206" xr:uid="{8FCE2018-AB8D-4EE8-9A79-19A3B354503C}"/>
    <hyperlink ref="D219" r:id="rId207" xr:uid="{D6FEF886-6B53-4407-BAD9-E333AFA58159}"/>
    <hyperlink ref="D220" r:id="rId208" xr:uid="{DA20CEEE-5D30-4892-98C5-AEEA3FEDF8A1}"/>
    <hyperlink ref="D221" r:id="rId209" xr:uid="{3B699E56-3985-4801-BBF9-3751AD9373FA}"/>
    <hyperlink ref="D222" r:id="rId210" xr:uid="{D631B3F8-0C3A-45F8-BF4A-CF17E6A483C3}"/>
    <hyperlink ref="D223" r:id="rId211" xr:uid="{BF09338C-92C4-4351-9668-3E40AF496026}"/>
    <hyperlink ref="D224" r:id="rId212" xr:uid="{8813DA97-B003-45CF-86A0-0A0DDC2D1670}"/>
    <hyperlink ref="D225" r:id="rId213" xr:uid="{3258D8C5-C0E0-4EAE-BB16-58B2DAF4BA1B}"/>
    <hyperlink ref="D226" r:id="rId214" xr:uid="{4D21E420-BE32-4EB2-AB19-9DF2F8B2E065}"/>
    <hyperlink ref="D227" r:id="rId215" xr:uid="{1B0A640E-D72A-4260-9DF4-100847E9D3A8}"/>
    <hyperlink ref="D228" r:id="rId216" xr:uid="{F2ACF4C9-143A-47D3-ABB3-389F02754795}"/>
    <hyperlink ref="D229" r:id="rId217" xr:uid="{0E72BE8C-A3C9-4BFD-A648-0C7CABC8A7F8}"/>
    <hyperlink ref="D230" r:id="rId218" xr:uid="{01B64D09-F41B-47E6-A2EF-36678EE48783}"/>
    <hyperlink ref="D231" r:id="rId219" xr:uid="{E2F848AD-2641-4F6E-8D6F-987658371CA8}"/>
    <hyperlink ref="D232" r:id="rId220" xr:uid="{45266883-9FA3-4063-9AEE-CFFDA593B4C2}"/>
    <hyperlink ref="D233" r:id="rId221" xr:uid="{39419A83-A32D-4771-A81B-EA4CE1D57527}"/>
    <hyperlink ref="D234" r:id="rId222" xr:uid="{47B95C5C-A1B3-4F7F-B7B1-47E44B156A80}"/>
    <hyperlink ref="D236" r:id="rId223" xr:uid="{DB6BB5D0-5E0C-4CC7-B5EB-0C654E1724A8}"/>
    <hyperlink ref="D238" r:id="rId224" xr:uid="{DA1E5DA9-1A36-46DF-95BF-2BD89D309151}"/>
    <hyperlink ref="D239" r:id="rId225" xr:uid="{9D39F9F9-48B9-4AFE-9006-F24A826AD7B7}"/>
    <hyperlink ref="D240" r:id="rId226" xr:uid="{63B0621E-2ACD-4F44-9685-13F0C30AFF59}"/>
    <hyperlink ref="D241" r:id="rId227" xr:uid="{AA5BC15B-9CAB-4F8A-9A9D-3D41CE63BF8A}"/>
    <hyperlink ref="D242" r:id="rId228" xr:uid="{0F1F4F50-1A63-4044-8384-1BCB7AE3936E}"/>
    <hyperlink ref="D244" r:id="rId229" xr:uid="{D41E7792-F52E-4C4E-B0B5-F9B73304BBA6}"/>
    <hyperlink ref="D245" r:id="rId230" xr:uid="{EA61AF69-E756-41FD-97C0-E72C5D814063}"/>
    <hyperlink ref="D246" r:id="rId231" xr:uid="{C8D2CA72-E094-41FE-B740-310EA847593D}"/>
    <hyperlink ref="D247" r:id="rId232" xr:uid="{426B8EDB-5352-4B8E-8E23-7206C120A1F4}"/>
    <hyperlink ref="D248" r:id="rId233" xr:uid="{49B282E1-333F-43C5-AC51-314E68C91FD8}"/>
    <hyperlink ref="D249" r:id="rId234" xr:uid="{ED6805E8-7492-4199-B50E-C53E36338BB3}"/>
    <hyperlink ref="D251" r:id="rId235" xr:uid="{9DC42674-FF17-4923-8AC0-144423A56B66}"/>
    <hyperlink ref="D252" r:id="rId236" xr:uid="{8CE48996-91B0-4DD4-A650-4831F1095094}"/>
    <hyperlink ref="D253" r:id="rId237" xr:uid="{BF43DDEA-DDEC-41D2-9104-EA081C57B2A5}"/>
    <hyperlink ref="D256" r:id="rId238" xr:uid="{91E1D1FB-87E8-490C-95CA-D31DBB5DE3FC}"/>
    <hyperlink ref="D257" r:id="rId239" xr:uid="{B7A1A2F8-80C1-4BFF-8D78-61F81B10B40C}"/>
    <hyperlink ref="D254" r:id="rId240" xr:uid="{D774CB35-C040-41B9-A878-76785FF1D5F8}"/>
    <hyperlink ref="D255" r:id="rId241" xr:uid="{A45C4098-63C6-400C-A456-A1CF667FA545}"/>
    <hyperlink ref="D250" r:id="rId242" xr:uid="{F284A7E6-5881-437D-8DAD-650C2B5916FF}"/>
    <hyperlink ref="D243" r:id="rId243" xr:uid="{432ABB27-2243-43FA-94BC-04BCAE2C4C79}"/>
    <hyperlink ref="D237" r:id="rId244" xr:uid="{62F6BF6F-F237-4471-BD8F-EDFAC4758F1F}"/>
    <hyperlink ref="D235" r:id="rId245" xr:uid="{31D94CDD-B762-4B29-B5AB-95F9CA5C2CC3}"/>
    <hyperlink ref="D104" r:id="rId246" xr:uid="{A87EEF26-A3FE-46EB-A532-AD136A5BD49B}"/>
    <hyperlink ref="D67" r:id="rId247" xr:uid="{BEDEE79F-B821-475F-A939-BCB92FE7892F}"/>
    <hyperlink ref="D44" r:id="rId248" xr:uid="{ACB3D13E-68D5-444E-843F-A90F8D195EC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31503-B28A-456C-AC02-13481547097A}">
  <dimension ref="B1:I71"/>
  <sheetViews>
    <sheetView showGridLines="0" zoomScale="80" zoomScaleNormal="80" workbookViewId="0">
      <selection activeCell="C49" sqref="C49"/>
    </sheetView>
  </sheetViews>
  <sheetFormatPr defaultRowHeight="12.75" x14ac:dyDescent="0.2"/>
  <cols>
    <col min="1" max="1" width="2.5703125" style="150" customWidth="1"/>
    <col min="2" max="2" width="77" style="150" customWidth="1"/>
    <col min="3" max="3" width="221.85546875" style="172" customWidth="1"/>
    <col min="4" max="16384" width="9.140625" style="150"/>
  </cols>
  <sheetData>
    <row r="1" spans="2:3" x14ac:dyDescent="0.2">
      <c r="C1" s="176" t="s">
        <v>576</v>
      </c>
    </row>
    <row r="2" spans="2:3" x14ac:dyDescent="0.2">
      <c r="B2" s="165" t="s">
        <v>8</v>
      </c>
      <c r="C2" s="157" t="s">
        <v>577</v>
      </c>
    </row>
    <row r="3" spans="2:3" x14ac:dyDescent="0.2">
      <c r="B3" s="165" t="s">
        <v>12</v>
      </c>
      <c r="C3" s="157" t="s">
        <v>578</v>
      </c>
    </row>
    <row r="4" spans="2:3" ht="25.5" x14ac:dyDescent="0.2">
      <c r="B4" s="165" t="s">
        <v>579</v>
      </c>
      <c r="C4" s="157" t="s">
        <v>628</v>
      </c>
    </row>
    <row r="5" spans="2:3" x14ac:dyDescent="0.2">
      <c r="B5" s="165" t="s">
        <v>13</v>
      </c>
      <c r="C5" s="157" t="s">
        <v>580</v>
      </c>
    </row>
    <row r="6" spans="2:3" x14ac:dyDescent="0.2">
      <c r="B6" s="165" t="s">
        <v>581</v>
      </c>
      <c r="C6" s="157" t="s">
        <v>582</v>
      </c>
    </row>
    <row r="7" spans="2:3" x14ac:dyDescent="0.2">
      <c r="B7" s="165" t="s">
        <v>583</v>
      </c>
      <c r="C7" s="157" t="s">
        <v>584</v>
      </c>
    </row>
    <row r="8" spans="2:3" x14ac:dyDescent="0.2">
      <c r="B8" s="165" t="s">
        <v>18</v>
      </c>
      <c r="C8" s="157" t="s">
        <v>585</v>
      </c>
    </row>
    <row r="9" spans="2:3" x14ac:dyDescent="0.2">
      <c r="B9" s="165" t="s">
        <v>586</v>
      </c>
      <c r="C9" s="157" t="s">
        <v>587</v>
      </c>
    </row>
    <row r="10" spans="2:3" ht="12" customHeight="1" x14ac:dyDescent="0.2">
      <c r="B10" s="165" t="s">
        <v>654</v>
      </c>
      <c r="C10" s="157" t="s">
        <v>630</v>
      </c>
    </row>
    <row r="11" spans="2:3" x14ac:dyDescent="0.2">
      <c r="B11" s="165" t="s">
        <v>938</v>
      </c>
      <c r="C11" s="157" t="s">
        <v>588</v>
      </c>
    </row>
    <row r="12" spans="2:3" x14ac:dyDescent="0.2">
      <c r="B12" s="165" t="s">
        <v>589</v>
      </c>
      <c r="C12" s="157" t="s">
        <v>629</v>
      </c>
    </row>
    <row r="13" spans="2:3" x14ac:dyDescent="0.2">
      <c r="B13" s="165" t="s">
        <v>939</v>
      </c>
      <c r="C13" s="157" t="s">
        <v>590</v>
      </c>
    </row>
    <row r="14" spans="2:3" x14ac:dyDescent="0.2">
      <c r="B14" s="165" t="s">
        <v>655</v>
      </c>
      <c r="C14" s="157" t="s">
        <v>925</v>
      </c>
    </row>
    <row r="15" spans="2:3" x14ac:dyDescent="0.2">
      <c r="B15" s="165" t="s">
        <v>940</v>
      </c>
      <c r="C15" s="157" t="s">
        <v>591</v>
      </c>
    </row>
    <row r="16" spans="2:3" x14ac:dyDescent="0.2">
      <c r="B16" s="165" t="s">
        <v>592</v>
      </c>
      <c r="C16" s="157" t="s">
        <v>926</v>
      </c>
    </row>
    <row r="17" spans="2:9" x14ac:dyDescent="0.2">
      <c r="B17" s="165" t="s">
        <v>951</v>
      </c>
      <c r="C17" s="157" t="s">
        <v>593</v>
      </c>
    </row>
    <row r="18" spans="2:9" x14ac:dyDescent="0.2">
      <c r="B18" s="165" t="s">
        <v>594</v>
      </c>
      <c r="C18" s="175" t="s">
        <v>595</v>
      </c>
    </row>
    <row r="19" spans="2:9" x14ac:dyDescent="0.2">
      <c r="B19" s="165" t="s">
        <v>941</v>
      </c>
      <c r="C19" s="175" t="s">
        <v>927</v>
      </c>
    </row>
    <row r="20" spans="2:9" ht="25.5" x14ac:dyDescent="0.2">
      <c r="B20" s="165" t="s">
        <v>928</v>
      </c>
      <c r="C20" s="175" t="s">
        <v>631</v>
      </c>
    </row>
    <row r="21" spans="2:9" x14ac:dyDescent="0.2">
      <c r="B21" s="165" t="s">
        <v>952</v>
      </c>
      <c r="C21" s="157" t="s">
        <v>929</v>
      </c>
    </row>
    <row r="22" spans="2:9" x14ac:dyDescent="0.2">
      <c r="B22" s="165" t="s">
        <v>930</v>
      </c>
      <c r="C22" s="157" t="s">
        <v>596</v>
      </c>
    </row>
    <row r="23" spans="2:9" x14ac:dyDescent="0.2">
      <c r="B23" s="165" t="s">
        <v>942</v>
      </c>
      <c r="C23" s="157" t="s">
        <v>597</v>
      </c>
    </row>
    <row r="24" spans="2:9" x14ac:dyDescent="0.2">
      <c r="B24" s="165" t="s">
        <v>931</v>
      </c>
      <c r="C24" s="157" t="s">
        <v>598</v>
      </c>
      <c r="I24" s="150" t="s">
        <v>0</v>
      </c>
    </row>
    <row r="25" spans="2:9" x14ac:dyDescent="0.2">
      <c r="B25" s="165" t="s">
        <v>943</v>
      </c>
      <c r="C25" s="157" t="s">
        <v>932</v>
      </c>
    </row>
    <row r="26" spans="2:9" x14ac:dyDescent="0.2">
      <c r="B26" s="165" t="s">
        <v>933</v>
      </c>
      <c r="C26" s="157" t="s">
        <v>599</v>
      </c>
    </row>
    <row r="27" spans="2:9" x14ac:dyDescent="0.2">
      <c r="B27" s="165" t="s">
        <v>934</v>
      </c>
      <c r="C27" s="157" t="s">
        <v>935</v>
      </c>
    </row>
    <row r="28" spans="2:9" ht="21" customHeight="1" x14ac:dyDescent="0.2">
      <c r="B28" s="165" t="s">
        <v>936</v>
      </c>
      <c r="C28" s="157" t="s">
        <v>600</v>
      </c>
    </row>
    <row r="29" spans="2:9" x14ac:dyDescent="0.2">
      <c r="B29" s="165" t="s">
        <v>944</v>
      </c>
      <c r="C29" s="157" t="s">
        <v>601</v>
      </c>
    </row>
    <row r="30" spans="2:9" x14ac:dyDescent="0.2">
      <c r="B30" s="165" t="s">
        <v>937</v>
      </c>
      <c r="C30" s="157" t="s">
        <v>661</v>
      </c>
    </row>
    <row r="31" spans="2:9" x14ac:dyDescent="0.2">
      <c r="B31" s="165" t="s">
        <v>945</v>
      </c>
      <c r="C31" s="157" t="s">
        <v>602</v>
      </c>
    </row>
    <row r="32" spans="2:9" x14ac:dyDescent="0.2">
      <c r="B32" s="165" t="s">
        <v>603</v>
      </c>
      <c r="C32" s="157" t="s">
        <v>664</v>
      </c>
    </row>
    <row r="33" spans="2:3" x14ac:dyDescent="0.2">
      <c r="B33" s="165" t="s">
        <v>946</v>
      </c>
      <c r="C33" s="157" t="s">
        <v>955</v>
      </c>
    </row>
    <row r="34" spans="2:3" x14ac:dyDescent="0.2">
      <c r="B34" s="165" t="s">
        <v>635</v>
      </c>
      <c r="C34" s="157" t="s">
        <v>636</v>
      </c>
    </row>
    <row r="35" spans="2:3" x14ac:dyDescent="0.2">
      <c r="B35" s="165" t="s">
        <v>605</v>
      </c>
      <c r="C35" s="157" t="s">
        <v>637</v>
      </c>
    </row>
    <row r="36" spans="2:3" x14ac:dyDescent="0.2">
      <c r="B36" s="165" t="s">
        <v>604</v>
      </c>
      <c r="C36" s="157" t="s">
        <v>632</v>
      </c>
    </row>
    <row r="37" spans="2:3" x14ac:dyDescent="0.2">
      <c r="B37" s="165" t="s">
        <v>605</v>
      </c>
      <c r="C37" s="157" t="s">
        <v>606</v>
      </c>
    </row>
    <row r="38" spans="2:3" x14ac:dyDescent="0.2">
      <c r="B38" s="165" t="s">
        <v>607</v>
      </c>
      <c r="C38" s="157" t="s">
        <v>608</v>
      </c>
    </row>
    <row r="39" spans="2:3" x14ac:dyDescent="0.2">
      <c r="B39" s="165" t="s">
        <v>609</v>
      </c>
      <c r="C39" s="157" t="s">
        <v>610</v>
      </c>
    </row>
    <row r="40" spans="2:3" ht="16.5" customHeight="1" x14ac:dyDescent="0.2">
      <c r="B40" s="165" t="s">
        <v>50</v>
      </c>
      <c r="C40" s="157" t="s">
        <v>634</v>
      </c>
    </row>
    <row r="41" spans="2:3" x14ac:dyDescent="0.2">
      <c r="B41" s="165" t="s">
        <v>611</v>
      </c>
      <c r="C41" s="157" t="s">
        <v>633</v>
      </c>
    </row>
    <row r="42" spans="2:3" x14ac:dyDescent="0.2">
      <c r="B42" s="165" t="s">
        <v>612</v>
      </c>
      <c r="C42" s="157" t="s">
        <v>613</v>
      </c>
    </row>
    <row r="43" spans="2:3" x14ac:dyDescent="0.2">
      <c r="B43" s="165" t="s">
        <v>953</v>
      </c>
      <c r="C43" s="157" t="s">
        <v>956</v>
      </c>
    </row>
    <row r="44" spans="2:3" x14ac:dyDescent="0.2">
      <c r="B44" s="165" t="s">
        <v>947</v>
      </c>
      <c r="C44" s="157" t="s">
        <v>614</v>
      </c>
    </row>
    <row r="45" spans="2:3" x14ac:dyDescent="0.2">
      <c r="B45" s="165" t="s">
        <v>954</v>
      </c>
      <c r="C45" s="157" t="s">
        <v>615</v>
      </c>
    </row>
    <row r="46" spans="2:3" ht="15" customHeight="1" x14ac:dyDescent="0.2">
      <c r="B46" s="165" t="s">
        <v>1</v>
      </c>
      <c r="C46" s="157" t="s">
        <v>647</v>
      </c>
    </row>
    <row r="47" spans="2:3" x14ac:dyDescent="0.2">
      <c r="B47" s="165" t="s">
        <v>948</v>
      </c>
      <c r="C47" s="157" t="s">
        <v>616</v>
      </c>
    </row>
    <row r="48" spans="2:3" x14ac:dyDescent="0.2">
      <c r="B48" s="165" t="s">
        <v>572</v>
      </c>
      <c r="C48" s="157" t="s">
        <v>617</v>
      </c>
    </row>
    <row r="49" spans="2:3" x14ac:dyDescent="0.2">
      <c r="B49" s="165" t="s">
        <v>618</v>
      </c>
      <c r="C49" s="157" t="s">
        <v>662</v>
      </c>
    </row>
    <row r="50" spans="2:3" x14ac:dyDescent="0.2">
      <c r="B50" s="165" t="s">
        <v>949</v>
      </c>
      <c r="C50" s="157" t="s">
        <v>619</v>
      </c>
    </row>
    <row r="51" spans="2:3" x14ac:dyDescent="0.2">
      <c r="B51" s="165" t="s">
        <v>620</v>
      </c>
      <c r="C51" s="157" t="s">
        <v>621</v>
      </c>
    </row>
    <row r="52" spans="2:3" x14ac:dyDescent="0.2">
      <c r="B52" s="165" t="s">
        <v>622</v>
      </c>
      <c r="C52" s="157" t="s">
        <v>623</v>
      </c>
    </row>
    <row r="53" spans="2:3" x14ac:dyDescent="0.2">
      <c r="B53" s="165" t="s">
        <v>950</v>
      </c>
      <c r="C53" s="157" t="s">
        <v>624</v>
      </c>
    </row>
    <row r="54" spans="2:3" x14ac:dyDescent="0.2">
      <c r="B54" s="165" t="s">
        <v>573</v>
      </c>
      <c r="C54" s="157" t="s">
        <v>625</v>
      </c>
    </row>
    <row r="55" spans="2:3" x14ac:dyDescent="0.2">
      <c r="B55" s="165" t="s">
        <v>626</v>
      </c>
      <c r="C55" s="157" t="s">
        <v>641</v>
      </c>
    </row>
    <row r="56" spans="2:3" x14ac:dyDescent="0.2">
      <c r="B56" s="165" t="s">
        <v>649</v>
      </c>
      <c r="C56" s="157" t="s">
        <v>650</v>
      </c>
    </row>
    <row r="57" spans="2:3" x14ac:dyDescent="0.2">
      <c r="B57" s="165" t="s">
        <v>638</v>
      </c>
      <c r="C57" s="157" t="s">
        <v>642</v>
      </c>
    </row>
    <row r="58" spans="2:3" x14ac:dyDescent="0.2">
      <c r="B58" s="165" t="s">
        <v>639</v>
      </c>
      <c r="C58" s="157" t="s">
        <v>643</v>
      </c>
    </row>
    <row r="59" spans="2:3" x14ac:dyDescent="0.2">
      <c r="B59" s="165" t="s">
        <v>640</v>
      </c>
      <c r="C59" s="157" t="s">
        <v>644</v>
      </c>
    </row>
    <row r="60" spans="2:3" x14ac:dyDescent="0.2">
      <c r="B60" s="165" t="s">
        <v>646</v>
      </c>
      <c r="C60" s="157" t="s">
        <v>645</v>
      </c>
    </row>
    <row r="61" spans="2:3" x14ac:dyDescent="0.2">
      <c r="B61" s="165" t="s">
        <v>648</v>
      </c>
      <c r="C61" s="157" t="s">
        <v>651</v>
      </c>
    </row>
    <row r="62" spans="2:3" x14ac:dyDescent="0.2">
      <c r="B62" s="165" t="s">
        <v>652</v>
      </c>
      <c r="C62" s="157" t="s">
        <v>653</v>
      </c>
    </row>
    <row r="63" spans="2:3" x14ac:dyDescent="0.2">
      <c r="B63" s="165" t="s">
        <v>756</v>
      </c>
      <c r="C63" s="157" t="s">
        <v>957</v>
      </c>
    </row>
    <row r="64" spans="2:3" x14ac:dyDescent="0.2">
      <c r="B64" s="165" t="s">
        <v>923</v>
      </c>
      <c r="C64" s="157" t="s">
        <v>627</v>
      </c>
    </row>
    <row r="65" spans="2:3" x14ac:dyDescent="0.2">
      <c r="B65" s="165" t="s">
        <v>574</v>
      </c>
      <c r="C65" s="157" t="s">
        <v>656</v>
      </c>
    </row>
    <row r="66" spans="2:3" x14ac:dyDescent="0.2">
      <c r="C66" s="172" t="s">
        <v>6</v>
      </c>
    </row>
    <row r="68" spans="2:3" x14ac:dyDescent="0.2">
      <c r="B68" s="211" t="s">
        <v>1020</v>
      </c>
    </row>
    <row r="70" spans="2:3" x14ac:dyDescent="0.2">
      <c r="B70" s="212" t="s">
        <v>1021</v>
      </c>
    </row>
    <row r="71" spans="2:3" x14ac:dyDescent="0.2">
      <c r="B71" s="213" t="s">
        <v>1022</v>
      </c>
    </row>
  </sheetData>
  <sheetProtection algorithmName="SHA-512" hashValue="piSt9XvSmPVqWDaILq0/r6BzvwN608001Q7RIYNkRTHGk9F3WR/uQWvfJdAfnj4Qx3GrC8dGrxVJxqDgQTz7lg==" saltValue="BPaaEwwpsliiT9nnG3z3n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1B37-FEAC-4B4F-819D-9DF6244E543E}">
  <dimension ref="A1:BD345"/>
  <sheetViews>
    <sheetView topLeftCell="C1" zoomScaleNormal="100" workbookViewId="0">
      <pane xSplit="1" ySplit="1" topLeftCell="AF47" activePane="bottomRight" state="frozen"/>
      <selection activeCell="C1" sqref="C1"/>
      <selection pane="topRight" activeCell="D1" sqref="D1"/>
      <selection pane="bottomLeft" activeCell="C2" sqref="C2"/>
      <selection pane="bottomRight" activeCell="C1" sqref="A1:XFD1048576"/>
    </sheetView>
  </sheetViews>
  <sheetFormatPr defaultRowHeight="15" x14ac:dyDescent="0.25"/>
  <cols>
    <col min="1" max="1" width="26.5703125" style="8" customWidth="1"/>
    <col min="2" max="2" width="29" style="8" customWidth="1"/>
    <col min="3" max="3" width="84.5703125" style="18" customWidth="1"/>
    <col min="4" max="4" width="30.28515625" style="8" customWidth="1"/>
    <col min="5" max="5" width="12" style="8" customWidth="1"/>
    <col min="6" max="6" width="25.5703125" style="8" customWidth="1"/>
    <col min="7" max="8" width="16.140625" style="27" customWidth="1"/>
    <col min="9" max="9" width="20.140625" style="8" customWidth="1"/>
    <col min="10" max="10" width="31.5703125" style="27" customWidth="1"/>
    <col min="11" max="11" width="24.42578125" style="27" customWidth="1"/>
    <col min="12" max="12" width="22.7109375" style="12" customWidth="1"/>
    <col min="13" max="13" width="18.7109375" style="12" customWidth="1"/>
    <col min="14" max="14" width="23" style="8" customWidth="1"/>
    <col min="15" max="15" width="21.28515625" style="8" customWidth="1"/>
    <col min="16" max="17" width="18.140625" style="8" customWidth="1"/>
    <col min="18" max="19" width="20.5703125" style="8" customWidth="1"/>
    <col min="20" max="20" width="21.5703125" style="8" customWidth="1"/>
    <col min="21" max="22" width="17.7109375" style="8" customWidth="1"/>
    <col min="23" max="23" width="16.85546875" style="8" customWidth="1"/>
    <col min="24" max="25" width="17.28515625" style="8" customWidth="1"/>
    <col min="26" max="27" width="18.5703125" style="8" customWidth="1"/>
    <col min="28" max="29" width="18.140625" style="8" customWidth="1"/>
    <col min="30" max="31" width="15.85546875" style="8" customWidth="1"/>
    <col min="32" max="32" width="25.140625" style="8" customWidth="1"/>
    <col min="33" max="33" width="18.5703125" style="8" customWidth="1"/>
    <col min="34" max="35" width="33.7109375" style="8" customWidth="1"/>
    <col min="36" max="36" width="20.140625" style="8" customWidth="1"/>
    <col min="37" max="37" width="21.140625" style="8" customWidth="1"/>
    <col min="38" max="38" width="19.5703125" style="8" customWidth="1"/>
    <col min="39" max="39" width="21.140625" style="8" customWidth="1"/>
    <col min="40" max="41" width="23.42578125" style="8" customWidth="1"/>
    <col min="42" max="42" width="13" style="8" customWidth="1"/>
    <col min="43" max="44" width="23.5703125" style="8" customWidth="1"/>
    <col min="45" max="45" width="34.28515625" style="8" hidden="1" customWidth="1"/>
    <col min="46" max="46" width="32.7109375" style="8" customWidth="1"/>
    <col min="47" max="47" width="30.140625" style="8" customWidth="1"/>
    <col min="48" max="48" width="21.7109375" style="8" customWidth="1"/>
    <col min="49" max="49" width="19.85546875" customWidth="1"/>
    <col min="50" max="50" width="19.85546875" style="129" customWidth="1"/>
    <col min="51" max="51" width="19.85546875" hidden="1" customWidth="1"/>
    <col min="52" max="53" width="19.85546875" style="129" customWidth="1"/>
    <col min="54" max="54" width="16.7109375" style="129" customWidth="1"/>
    <col min="55" max="55" width="71.140625" style="8" customWidth="1"/>
    <col min="56" max="16384" width="9.140625" style="8"/>
  </cols>
  <sheetData>
    <row r="1" spans="1:56" s="7" customFormat="1" ht="69.75" customHeight="1" x14ac:dyDescent="0.25">
      <c r="A1" s="2" t="s">
        <v>8</v>
      </c>
      <c r="B1" s="2" t="s">
        <v>12</v>
      </c>
      <c r="C1" s="3" t="s">
        <v>6</v>
      </c>
      <c r="D1" s="2" t="s">
        <v>13</v>
      </c>
      <c r="E1" s="2" t="s">
        <v>14</v>
      </c>
      <c r="F1" s="2" t="s">
        <v>563</v>
      </c>
      <c r="G1" s="4" t="s">
        <v>16</v>
      </c>
      <c r="H1" s="4" t="s">
        <v>17</v>
      </c>
      <c r="I1" s="2" t="s">
        <v>18</v>
      </c>
      <c r="J1" s="4" t="s">
        <v>19</v>
      </c>
      <c r="K1" s="4" t="s">
        <v>20</v>
      </c>
      <c r="L1" s="5" t="s">
        <v>21</v>
      </c>
      <c r="M1" s="5"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564</v>
      </c>
      <c r="AJ1" s="2" t="s">
        <v>44</v>
      </c>
      <c r="AK1" s="2" t="s">
        <v>45</v>
      </c>
      <c r="AL1" s="2" t="s">
        <v>46</v>
      </c>
      <c r="AM1" s="2" t="s">
        <v>47</v>
      </c>
      <c r="AN1" s="2" t="s">
        <v>48</v>
      </c>
      <c r="AO1" s="2" t="s">
        <v>49</v>
      </c>
      <c r="AP1" s="6" t="s">
        <v>50</v>
      </c>
      <c r="AQ1" s="2" t="s">
        <v>1</v>
      </c>
      <c r="AR1" s="2" t="s">
        <v>51</v>
      </c>
      <c r="AS1" s="2" t="s">
        <v>52</v>
      </c>
      <c r="AT1" s="2" t="s">
        <v>53</v>
      </c>
      <c r="AU1" s="2" t="s">
        <v>54</v>
      </c>
      <c r="AV1" s="2" t="s">
        <v>55</v>
      </c>
      <c r="AW1" s="2" t="s">
        <v>56</v>
      </c>
      <c r="AX1" s="118" t="s">
        <v>57</v>
      </c>
      <c r="AY1" s="2" t="s">
        <v>58</v>
      </c>
      <c r="AZ1" s="118" t="s">
        <v>539</v>
      </c>
      <c r="BA1" s="118" t="s">
        <v>540</v>
      </c>
      <c r="BB1" s="118" t="s">
        <v>541</v>
      </c>
    </row>
    <row r="2" spans="1:56" x14ac:dyDescent="0.25">
      <c r="A2" s="8" t="s">
        <v>59</v>
      </c>
      <c r="B2" s="8" t="s">
        <v>60</v>
      </c>
      <c r="C2" s="9" t="s">
        <v>61</v>
      </c>
      <c r="D2" s="8" t="s">
        <v>62</v>
      </c>
      <c r="E2" s="8" t="s">
        <v>63</v>
      </c>
      <c r="F2" s="8">
        <v>0.23388530499999999</v>
      </c>
      <c r="G2" s="10">
        <v>2381917</v>
      </c>
      <c r="H2" s="10"/>
      <c r="I2" s="10">
        <v>36354</v>
      </c>
      <c r="J2" s="10">
        <v>407001000</v>
      </c>
      <c r="K2" s="11">
        <f>J2*F2</f>
        <v>95191553.020304993</v>
      </c>
      <c r="L2" s="10">
        <v>316737000</v>
      </c>
      <c r="M2" s="11">
        <f>F2*L2</f>
        <v>74080129.849785</v>
      </c>
      <c r="N2" s="12">
        <v>283289000</v>
      </c>
      <c r="O2" s="13">
        <f>N2*F2</f>
        <v>66257134.168144993</v>
      </c>
      <c r="P2" s="12"/>
      <c r="Q2" s="13">
        <f t="shared" ref="Q2:Q46" si="0">P2*F2</f>
        <v>0</v>
      </c>
      <c r="R2" s="10">
        <v>90264000</v>
      </c>
      <c r="S2" s="11">
        <f t="shared" ref="S2:S20" si="1">R2*F2</f>
        <v>21111423.17052</v>
      </c>
      <c r="T2" s="10">
        <v>25623000</v>
      </c>
      <c r="U2" s="12"/>
      <c r="V2" s="12"/>
      <c r="W2" s="12"/>
      <c r="X2" s="12"/>
      <c r="Y2" s="12"/>
      <c r="Z2" s="12"/>
      <c r="AA2" s="12"/>
      <c r="AB2" s="12"/>
      <c r="AC2" s="12"/>
      <c r="AD2" s="12"/>
      <c r="AE2" s="12"/>
      <c r="AF2" s="10">
        <v>4349000</v>
      </c>
      <c r="AG2" s="11">
        <f>AF2*F2</f>
        <v>1017167.191445</v>
      </c>
      <c r="AH2" s="10">
        <f>(103201000+51860000+43895000)</f>
        <v>198956000</v>
      </c>
      <c r="AI2" s="10">
        <f>AI8</f>
        <v>0</v>
      </c>
      <c r="AJ2" s="12">
        <v>862000</v>
      </c>
      <c r="AK2" s="11">
        <f>AJ2*F2</f>
        <v>201609.13290999999</v>
      </c>
      <c r="AL2" s="14">
        <v>8572000</v>
      </c>
      <c r="AM2" s="11">
        <f>AL2*F2</f>
        <v>2004864.8344599998</v>
      </c>
      <c r="AN2" s="10">
        <v>56005000</v>
      </c>
      <c r="AO2" s="11">
        <f>AN2*F2</f>
        <v>13098746.506524999</v>
      </c>
      <c r="AP2" s="10"/>
      <c r="AQ2" s="12"/>
      <c r="AR2" s="13"/>
      <c r="AS2" s="10">
        <v>50061000</v>
      </c>
      <c r="AT2" s="10">
        <v>144575000</v>
      </c>
      <c r="AU2" s="13">
        <f>AT2*F2</f>
        <v>33813967.970375001</v>
      </c>
      <c r="AV2" s="15">
        <v>154025000</v>
      </c>
      <c r="AW2" s="16">
        <f>AV2*F2</f>
        <v>36024184.102624997</v>
      </c>
      <c r="AX2" s="119">
        <v>5854725000</v>
      </c>
      <c r="AY2" s="17">
        <f>AX2*F2</f>
        <v>1369334142.3161249</v>
      </c>
      <c r="AZ2" s="119">
        <f>(AX2+2185384000)/2</f>
        <v>4020054500</v>
      </c>
      <c r="BA2" s="119">
        <v>61189000</v>
      </c>
      <c r="BB2" s="119">
        <v>153237000</v>
      </c>
      <c r="BC2"/>
    </row>
    <row r="3" spans="1:56" x14ac:dyDescent="0.25">
      <c r="A3" s="8" t="s">
        <v>59</v>
      </c>
      <c r="B3" s="8" t="s">
        <v>64</v>
      </c>
      <c r="C3" s="18" t="s">
        <v>65</v>
      </c>
      <c r="D3" s="8" t="s">
        <v>66</v>
      </c>
      <c r="E3" s="8" t="s">
        <v>67</v>
      </c>
      <c r="F3" s="8">
        <v>1.067464E-4</v>
      </c>
      <c r="G3" s="10">
        <v>396300</v>
      </c>
      <c r="H3" s="10"/>
      <c r="I3" s="10" t="s">
        <v>68</v>
      </c>
      <c r="J3" s="10">
        <v>121960155262</v>
      </c>
      <c r="K3" s="11">
        <f>J3*F3</f>
        <v>13018807.517659556</v>
      </c>
      <c r="M3" s="11"/>
      <c r="N3" s="12"/>
      <c r="O3" s="13"/>
      <c r="P3" s="12"/>
      <c r="Q3" s="13">
        <f t="shared" si="0"/>
        <v>0</v>
      </c>
      <c r="R3" s="12"/>
      <c r="S3" s="11">
        <f t="shared" si="1"/>
        <v>0</v>
      </c>
      <c r="T3" s="12"/>
      <c r="U3" s="12"/>
      <c r="V3" s="12"/>
      <c r="W3" s="12"/>
      <c r="X3" s="12"/>
      <c r="Y3" s="12"/>
      <c r="Z3" s="12"/>
      <c r="AA3" s="12"/>
      <c r="AB3" s="12"/>
      <c r="AC3" s="12"/>
      <c r="AD3" s="12"/>
      <c r="AE3" s="12"/>
      <c r="AF3" s="12"/>
      <c r="AG3" s="12"/>
      <c r="AH3" s="12"/>
      <c r="AI3" s="12"/>
      <c r="AJ3" s="15"/>
      <c r="AK3" s="12"/>
      <c r="AL3" s="15"/>
      <c r="AM3" s="12"/>
      <c r="AN3" s="10">
        <v>22168122442</v>
      </c>
      <c r="AO3" s="11">
        <f>AN3*F3</f>
        <v>2366367.265442709</v>
      </c>
      <c r="AP3" s="12">
        <v>302</v>
      </c>
      <c r="AQ3" s="12"/>
      <c r="AR3" s="13"/>
      <c r="AS3" s="12"/>
      <c r="AT3" s="12"/>
      <c r="AU3" s="12"/>
      <c r="AV3" s="15">
        <v>12198018687</v>
      </c>
      <c r="AW3" s="16">
        <f>AV3*F3</f>
        <v>1302094.5819699769</v>
      </c>
      <c r="AX3" s="119"/>
      <c r="AY3" s="17"/>
      <c r="AZ3" s="119"/>
      <c r="BA3" s="119"/>
      <c r="BB3" s="140"/>
      <c r="BC3"/>
    </row>
    <row r="4" spans="1:56" x14ac:dyDescent="0.25">
      <c r="A4" s="8" t="s">
        <v>59</v>
      </c>
      <c r="B4" s="8" t="s">
        <v>69</v>
      </c>
      <c r="C4" s="9" t="s">
        <v>70</v>
      </c>
      <c r="D4" s="73" t="s">
        <v>96</v>
      </c>
      <c r="E4" s="73" t="s">
        <v>72</v>
      </c>
      <c r="F4" s="73">
        <v>9.8916640999999993E-3</v>
      </c>
      <c r="G4" s="74"/>
      <c r="H4" s="74"/>
      <c r="I4" s="74"/>
      <c r="J4" s="74">
        <v>15900000000</v>
      </c>
      <c r="K4" s="76"/>
      <c r="L4" s="74">
        <v>13341805000</v>
      </c>
      <c r="M4" s="76"/>
      <c r="N4" s="75">
        <v>9567298000</v>
      </c>
      <c r="O4" s="77"/>
      <c r="P4" s="74"/>
      <c r="Q4" s="77"/>
      <c r="R4" s="75">
        <v>15899210000</v>
      </c>
      <c r="S4" s="76"/>
      <c r="T4" s="74"/>
      <c r="U4" s="75"/>
      <c r="V4" s="75"/>
      <c r="W4" s="75"/>
      <c r="X4" s="75"/>
      <c r="Y4" s="75"/>
      <c r="Z4" s="75"/>
      <c r="AA4" s="75"/>
      <c r="AB4" s="75"/>
      <c r="AC4" s="75"/>
      <c r="AD4" s="75"/>
      <c r="AE4" s="75"/>
      <c r="AF4" s="75"/>
      <c r="AG4" s="75"/>
      <c r="AH4" s="74">
        <v>10931000000</v>
      </c>
      <c r="AI4" s="74"/>
      <c r="AJ4" s="82">
        <v>692674000</v>
      </c>
      <c r="AK4" s="76"/>
      <c r="AL4" s="82"/>
      <c r="AM4" s="76"/>
      <c r="AN4" s="74">
        <v>4745806000</v>
      </c>
      <c r="AO4" s="76"/>
      <c r="AP4" s="75"/>
      <c r="AQ4" s="93"/>
      <c r="AR4" s="77"/>
      <c r="AS4" s="74"/>
      <c r="AT4" s="82">
        <v>5750000000</v>
      </c>
      <c r="AU4" s="77"/>
      <c r="AV4" s="78">
        <v>5255787000</v>
      </c>
      <c r="AW4" s="79"/>
      <c r="AX4" s="124">
        <v>74292969000</v>
      </c>
      <c r="AY4" s="80"/>
      <c r="AZ4" s="124">
        <f>(AX4+ 69252509000)/2</f>
        <v>71772739000</v>
      </c>
      <c r="BA4" s="124">
        <v>8320554000</v>
      </c>
      <c r="BB4" s="124">
        <v>7512087000</v>
      </c>
      <c r="BC4"/>
    </row>
    <row r="5" spans="1:56" x14ac:dyDescent="0.25">
      <c r="A5" s="8" t="s">
        <v>59</v>
      </c>
      <c r="B5" s="8" t="s">
        <v>69</v>
      </c>
      <c r="C5" s="18" t="s">
        <v>73</v>
      </c>
      <c r="D5" s="8" t="s">
        <v>0</v>
      </c>
      <c r="E5" s="8" t="s">
        <v>72</v>
      </c>
      <c r="F5" s="8">
        <v>9.7828211999999998E-3</v>
      </c>
      <c r="G5" s="10">
        <v>7112000</v>
      </c>
      <c r="H5" s="10">
        <f>(2.7+1.6+1.3)*1000000</f>
        <v>5600000.0000000009</v>
      </c>
      <c r="I5" s="10">
        <v>198344</v>
      </c>
      <c r="J5" s="10" t="s">
        <v>68</v>
      </c>
      <c r="K5" s="11"/>
      <c r="L5" s="10" t="s">
        <v>0</v>
      </c>
      <c r="M5" s="11"/>
      <c r="N5" s="12"/>
      <c r="O5" s="13"/>
      <c r="P5" s="10"/>
      <c r="Q5" s="13">
        <f t="shared" si="0"/>
        <v>0</v>
      </c>
      <c r="R5" s="12">
        <v>2700000000</v>
      </c>
      <c r="S5" s="11">
        <f t="shared" si="1"/>
        <v>26413617.239999998</v>
      </c>
      <c r="T5" s="10"/>
      <c r="U5" s="12">
        <f>3%*R5</f>
        <v>81000000</v>
      </c>
      <c r="V5" s="20">
        <f>U5*F5</f>
        <v>792408.5172</v>
      </c>
      <c r="W5" s="12">
        <f>14%*R5</f>
        <v>378000000.00000006</v>
      </c>
      <c r="X5" s="12">
        <f>U5+W5</f>
        <v>459000000.00000006</v>
      </c>
      <c r="Y5" s="13">
        <f>X5*F5</f>
        <v>4490314.9308000002</v>
      </c>
      <c r="Z5" s="12">
        <v>162000000</v>
      </c>
      <c r="AA5" s="13">
        <f>Z5*F5</f>
        <v>1584817.0344</v>
      </c>
      <c r="AB5" s="12">
        <f>Z5+X5</f>
        <v>621000000</v>
      </c>
      <c r="AC5" s="13">
        <f>AB5*F5</f>
        <v>6075131.9651999995</v>
      </c>
      <c r="AD5" s="12">
        <f>9%*R5</f>
        <v>243000000</v>
      </c>
      <c r="AE5" s="13">
        <f>AD5*F5</f>
        <v>2377225.5515999999</v>
      </c>
      <c r="AF5" s="12">
        <f>6%*R5</f>
        <v>162000000</v>
      </c>
      <c r="AG5" s="11">
        <f>AF5*F5</f>
        <v>1584817.0344</v>
      </c>
      <c r="AH5" s="10"/>
      <c r="AI5" s="10"/>
      <c r="AJ5" s="14"/>
      <c r="AK5" s="10"/>
      <c r="AL5" s="14"/>
      <c r="AM5" s="10"/>
      <c r="AN5" s="10"/>
      <c r="AO5" s="10"/>
      <c r="AP5" s="12"/>
      <c r="AQ5" s="12"/>
      <c r="AR5" s="13"/>
      <c r="AS5" s="10"/>
      <c r="AT5" s="10"/>
      <c r="AU5" s="10"/>
      <c r="AV5" s="14"/>
      <c r="AW5" s="16"/>
      <c r="AX5" s="121"/>
      <c r="AY5" s="17"/>
      <c r="AZ5" s="119"/>
      <c r="BA5" s="119"/>
      <c r="BB5" s="119"/>
      <c r="BC5"/>
    </row>
    <row r="6" spans="1:56" x14ac:dyDescent="0.25">
      <c r="A6" s="8" t="s">
        <v>59</v>
      </c>
      <c r="B6" s="8" t="s">
        <v>74</v>
      </c>
      <c r="C6" s="9" t="s">
        <v>75</v>
      </c>
      <c r="D6" s="8" t="s">
        <v>66</v>
      </c>
      <c r="E6" s="8" t="s">
        <v>76</v>
      </c>
      <c r="F6" s="8">
        <v>1.4039027799999999E-2</v>
      </c>
      <c r="G6" s="10">
        <v>1900000</v>
      </c>
      <c r="H6" s="10"/>
      <c r="I6" s="10" t="s">
        <v>68</v>
      </c>
      <c r="J6" s="10">
        <v>2756739000</v>
      </c>
      <c r="K6" s="11">
        <f>J6*F6</f>
        <v>38701935.458344199</v>
      </c>
      <c r="M6" s="11"/>
      <c r="N6" s="12"/>
      <c r="O6" s="13"/>
      <c r="P6" s="12"/>
      <c r="Q6" s="13">
        <f t="shared" si="0"/>
        <v>0</v>
      </c>
      <c r="R6" s="12"/>
      <c r="S6" s="11">
        <f t="shared" si="1"/>
        <v>0</v>
      </c>
      <c r="T6" s="12"/>
      <c r="U6" s="12"/>
      <c r="V6" s="12"/>
      <c r="W6" s="12"/>
      <c r="X6" s="12"/>
      <c r="Y6" s="12"/>
      <c r="Z6" s="12"/>
      <c r="AA6" s="12"/>
      <c r="AB6" s="12"/>
      <c r="AC6" s="12"/>
      <c r="AD6" s="12"/>
      <c r="AE6" s="12"/>
      <c r="AF6" s="12"/>
      <c r="AG6" s="12"/>
      <c r="AH6" s="12">
        <v>2092252981</v>
      </c>
      <c r="AI6" s="12"/>
      <c r="AJ6" s="14"/>
      <c r="AK6" s="11"/>
      <c r="AL6" s="14"/>
      <c r="AM6" s="11"/>
      <c r="AN6" s="10">
        <v>723091606</v>
      </c>
      <c r="AO6" s="11">
        <f>AN6*F6</f>
        <v>10151503.158580646</v>
      </c>
      <c r="AP6" s="12"/>
      <c r="AQ6" s="10">
        <v>999293659</v>
      </c>
      <c r="AR6" s="13">
        <f>AQ6*F6</f>
        <v>14029111.45906472</v>
      </c>
      <c r="AS6" s="12">
        <f>AQ6-AT6</f>
        <v>889315590</v>
      </c>
      <c r="AT6" s="10">
        <v>109978069</v>
      </c>
      <c r="AU6" s="13">
        <f>AT6*F6</f>
        <v>1543985.168081318</v>
      </c>
      <c r="AV6" s="15">
        <v>-7658081101</v>
      </c>
      <c r="AW6" s="16">
        <f>AV6*F6</f>
        <v>-107512013.4715936</v>
      </c>
      <c r="AX6" s="119"/>
      <c r="AY6" s="17"/>
      <c r="AZ6" s="119"/>
      <c r="BA6" s="119"/>
      <c r="BB6" s="119"/>
      <c r="BC6" t="s">
        <v>0</v>
      </c>
    </row>
    <row r="7" spans="1:56" x14ac:dyDescent="0.25">
      <c r="A7" s="8" t="s">
        <v>59</v>
      </c>
      <c r="B7" s="8" t="s">
        <v>77</v>
      </c>
      <c r="C7" s="9" t="s">
        <v>78</v>
      </c>
      <c r="D7" s="8" t="s">
        <v>79</v>
      </c>
      <c r="E7" s="8" t="s">
        <v>80</v>
      </c>
      <c r="F7" s="8">
        <v>6.7970534200000002E-2</v>
      </c>
      <c r="G7" s="10">
        <f>753440+258515</f>
        <v>1011955</v>
      </c>
      <c r="H7" s="10"/>
      <c r="I7" s="10">
        <f>14153+29795</f>
        <v>43948</v>
      </c>
      <c r="J7" s="10">
        <v>222974319</v>
      </c>
      <c r="K7" s="11">
        <f>J7*F7</f>
        <v>15155683.57531121</v>
      </c>
      <c r="L7" s="10">
        <f>77%*J7</f>
        <v>171690225.63</v>
      </c>
      <c r="M7" s="11">
        <f>F7*L7</f>
        <v>11669876.352989631</v>
      </c>
      <c r="N7" s="10">
        <v>132965063</v>
      </c>
      <c r="O7" s="13">
        <f>N7*F7</f>
        <v>9037706.3620466553</v>
      </c>
      <c r="P7" s="10">
        <f>32742808+1000819</f>
        <v>33743627</v>
      </c>
      <c r="Q7" s="13">
        <f t="shared" si="0"/>
        <v>2293572.3530355436</v>
      </c>
      <c r="R7" s="10">
        <f>J7-L7</f>
        <v>51284093.370000005</v>
      </c>
      <c r="S7" s="11">
        <f t="shared" si="1"/>
        <v>3485807.2223215788</v>
      </c>
      <c r="T7" s="10">
        <v>1445055</v>
      </c>
      <c r="U7" s="12"/>
      <c r="V7" s="12"/>
      <c r="W7" s="12"/>
      <c r="X7" s="12"/>
      <c r="Y7" s="12"/>
      <c r="Z7" s="12"/>
      <c r="AA7" s="12"/>
      <c r="AB7" s="12"/>
      <c r="AC7" s="12"/>
      <c r="AD7" s="12"/>
      <c r="AE7" s="12"/>
      <c r="AF7" s="10">
        <v>8694947</v>
      </c>
      <c r="AG7" s="11">
        <f>AF7*F7</f>
        <v>591000.19243068737</v>
      </c>
      <c r="AH7" s="12">
        <f>244882672+AS7</f>
        <v>282016597</v>
      </c>
      <c r="AI7" s="12"/>
      <c r="AJ7" s="14">
        <v>19805555</v>
      </c>
      <c r="AK7" s="11">
        <f>AJ7*F7</f>
        <v>1346194.1534774811</v>
      </c>
      <c r="AL7" s="14">
        <v>20303019</v>
      </c>
      <c r="AM7" s="11">
        <f>AL7*F7</f>
        <v>1380007.0473027499</v>
      </c>
      <c r="AN7" s="12">
        <v>118095379</v>
      </c>
      <c r="AO7" s="11">
        <f>AN7*F7</f>
        <v>8027005.9971814621</v>
      </c>
      <c r="AP7" s="12">
        <v>346</v>
      </c>
      <c r="AQ7" s="10">
        <v>8700000</v>
      </c>
      <c r="AR7" s="13">
        <f>AQ7*F7</f>
        <v>591343.64754000003</v>
      </c>
      <c r="AS7" s="12">
        <v>37133925</v>
      </c>
      <c r="AT7" s="19">
        <v>-72322401</v>
      </c>
      <c r="AU7" s="13">
        <f>AT7*F7</f>
        <v>-4915792.2305966141</v>
      </c>
      <c r="AV7" s="15">
        <v>12650783</v>
      </c>
      <c r="AW7" s="16">
        <f>AV7*F7</f>
        <v>859880.47855827864</v>
      </c>
      <c r="AX7" s="121">
        <v>2997726492</v>
      </c>
      <c r="AY7" s="134">
        <f>AX7*F7</f>
        <v>203757071.04673204</v>
      </c>
      <c r="AZ7" s="119">
        <f>(AX7+2742074131)/2</f>
        <v>2869900311.5</v>
      </c>
      <c r="BA7" s="119">
        <v>146378236</v>
      </c>
      <c r="BB7" s="119">
        <v>13933156</v>
      </c>
      <c r="BC7"/>
    </row>
    <row r="8" spans="1:56" x14ac:dyDescent="0.25">
      <c r="A8" s="8" t="s">
        <v>59</v>
      </c>
      <c r="B8" s="8" t="s">
        <v>81</v>
      </c>
      <c r="C8" s="9" t="s">
        <v>82</v>
      </c>
      <c r="D8" s="8" t="s">
        <v>83</v>
      </c>
      <c r="E8" s="8" t="s">
        <v>84</v>
      </c>
      <c r="F8" s="8">
        <v>2.7777797E-3</v>
      </c>
      <c r="G8" s="10">
        <v>13394945</v>
      </c>
      <c r="H8" s="10"/>
      <c r="I8" s="10">
        <v>214548</v>
      </c>
      <c r="J8" s="10"/>
      <c r="K8" s="11"/>
      <c r="L8" s="10"/>
      <c r="M8" s="11"/>
      <c r="N8" s="10">
        <v>38000000000</v>
      </c>
      <c r="O8" s="13">
        <f>N8*F8</f>
        <v>105555628.59999999</v>
      </c>
      <c r="P8" s="10"/>
      <c r="Q8" s="13">
        <f t="shared" si="0"/>
        <v>0</v>
      </c>
      <c r="R8" s="10"/>
      <c r="S8" s="11">
        <f t="shared" si="1"/>
        <v>0</v>
      </c>
      <c r="T8" s="10"/>
      <c r="U8" s="12"/>
      <c r="V8" s="12"/>
      <c r="W8" s="12"/>
      <c r="X8" s="12"/>
      <c r="Y8" s="12"/>
      <c r="Z8" s="12"/>
      <c r="AA8" s="12"/>
      <c r="AB8" s="12"/>
      <c r="AC8" s="12"/>
      <c r="AD8" s="12"/>
      <c r="AE8" s="12"/>
      <c r="AF8" s="10"/>
      <c r="AG8" s="10"/>
      <c r="AH8" s="12"/>
      <c r="AI8" s="12"/>
      <c r="AJ8" s="15"/>
      <c r="AK8" s="12"/>
      <c r="AL8" s="15"/>
      <c r="AM8" s="12"/>
      <c r="AN8" s="12"/>
      <c r="AO8" s="12"/>
      <c r="AP8" s="12"/>
      <c r="AQ8" s="10"/>
      <c r="AR8" s="13"/>
      <c r="AS8" s="12"/>
      <c r="AT8" s="19"/>
      <c r="AU8" s="13"/>
      <c r="AV8" s="15"/>
      <c r="AW8" s="16"/>
      <c r="AX8" s="121"/>
      <c r="AY8" s="134"/>
      <c r="AZ8" s="119"/>
      <c r="BA8" s="119"/>
      <c r="BB8" s="141"/>
      <c r="BC8"/>
    </row>
    <row r="9" spans="1:56" x14ac:dyDescent="0.25">
      <c r="A9" s="8" t="s">
        <v>59</v>
      </c>
      <c r="B9" s="8" t="s">
        <v>85</v>
      </c>
      <c r="C9" s="18" t="s">
        <v>86</v>
      </c>
      <c r="D9" s="8" t="s">
        <v>83</v>
      </c>
      <c r="E9" s="8" t="s">
        <v>87</v>
      </c>
      <c r="F9" s="8">
        <v>7.1170347800000006E-2</v>
      </c>
      <c r="G9" s="10">
        <f>345887*2</f>
        <v>691774</v>
      </c>
      <c r="H9" s="10"/>
      <c r="I9" s="10">
        <v>20016</v>
      </c>
      <c r="J9" s="12">
        <f>L9+R9</f>
        <v>448748244</v>
      </c>
      <c r="K9" s="11">
        <f t="shared" ref="K9:K18" si="2">J9*F9</f>
        <v>31937568.600119267</v>
      </c>
      <c r="L9" s="10">
        <v>407345013</v>
      </c>
      <c r="M9" s="11">
        <f t="shared" ref="M9:M14" si="3">F9*L9</f>
        <v>28990886.249805525</v>
      </c>
      <c r="N9" s="12">
        <v>254091238</v>
      </c>
      <c r="O9" s="13">
        <f>N9*F9</f>
        <v>18083761.781392578</v>
      </c>
      <c r="P9" s="12">
        <v>32353133</v>
      </c>
      <c r="Q9" s="13">
        <f t="shared" si="0"/>
        <v>2302583.7280296576</v>
      </c>
      <c r="R9" s="10">
        <v>41403231</v>
      </c>
      <c r="S9" s="11">
        <f t="shared" si="1"/>
        <v>2946682.3503137422</v>
      </c>
      <c r="T9" s="12">
        <v>24189478</v>
      </c>
      <c r="U9" s="12"/>
      <c r="V9" s="12"/>
      <c r="W9" s="12"/>
      <c r="X9" s="12"/>
      <c r="Y9" s="12"/>
      <c r="Z9" s="12"/>
      <c r="AA9" s="12"/>
      <c r="AB9" s="12"/>
      <c r="AC9" s="12"/>
      <c r="AD9" s="12"/>
      <c r="AE9" s="12"/>
      <c r="AF9" s="12"/>
      <c r="AG9" s="12"/>
      <c r="AH9" s="12">
        <f>149515149+22735360+66557161+AS9</f>
        <v>275941595</v>
      </c>
      <c r="AI9" s="12"/>
      <c r="AJ9" s="14"/>
      <c r="AK9" s="11"/>
      <c r="AL9" s="14">
        <v>22735360</v>
      </c>
      <c r="AM9" s="11">
        <f>AL9*F9</f>
        <v>1618083.4785582081</v>
      </c>
      <c r="AN9" s="12">
        <v>149515419</v>
      </c>
      <c r="AO9" s="11">
        <f>AN9*F9</f>
        <v>10641064.371692728</v>
      </c>
      <c r="AP9" s="12">
        <v>693</v>
      </c>
      <c r="AQ9" s="12">
        <f>AS9+AT9</f>
        <v>209940574</v>
      </c>
      <c r="AR9" s="13">
        <f>AQ9*F9</f>
        <v>14941543.668911638</v>
      </c>
      <c r="AS9" s="10">
        <v>37133925</v>
      </c>
      <c r="AT9" s="15">
        <f>J9-AH9</f>
        <v>172806649</v>
      </c>
      <c r="AU9" s="13">
        <f>AT9*F9</f>
        <v>12298709.311482523</v>
      </c>
      <c r="AV9" s="15">
        <v>125621263</v>
      </c>
      <c r="AW9" s="16">
        <f>AV9*F9</f>
        <v>8940508.9787852727</v>
      </c>
      <c r="AX9" s="119">
        <v>637270450</v>
      </c>
      <c r="AY9" s="134"/>
      <c r="AZ9" s="119">
        <f>(AX9+567858860)/2</f>
        <v>602564655</v>
      </c>
      <c r="BA9" s="119">
        <v>57231423</v>
      </c>
      <c r="BB9" s="119">
        <v>42307924</v>
      </c>
      <c r="BC9" t="s">
        <v>88</v>
      </c>
    </row>
    <row r="10" spans="1:56" x14ac:dyDescent="0.25">
      <c r="A10" s="8" t="s">
        <v>59</v>
      </c>
      <c r="B10" s="8" t="s">
        <v>89</v>
      </c>
      <c r="C10" s="9" t="s">
        <v>90</v>
      </c>
      <c r="D10" s="47" t="s">
        <v>135</v>
      </c>
      <c r="E10" s="47" t="s">
        <v>92</v>
      </c>
      <c r="F10" s="47">
        <v>7.4476800900000001E-2</v>
      </c>
      <c r="G10" s="48">
        <v>41500000</v>
      </c>
      <c r="H10" s="48"/>
      <c r="I10" s="48">
        <f>264457*2</f>
        <v>528914</v>
      </c>
      <c r="J10" s="48">
        <v>6906047000</v>
      </c>
      <c r="K10" s="49">
        <f t="shared" si="2"/>
        <v>514340287.42504233</v>
      </c>
      <c r="L10" s="48">
        <f>3583866000</f>
        <v>3583866000</v>
      </c>
      <c r="M10" s="49">
        <f t="shared" si="3"/>
        <v>266914874.53427941</v>
      </c>
      <c r="N10" s="50"/>
      <c r="O10" s="51"/>
      <c r="P10" s="50"/>
      <c r="Q10" s="51">
        <f t="shared" si="0"/>
        <v>0</v>
      </c>
      <c r="R10" s="48">
        <f>3322181000</f>
        <v>3322181000</v>
      </c>
      <c r="S10" s="49">
        <f t="shared" si="1"/>
        <v>247425412.8907629</v>
      </c>
      <c r="T10" s="50"/>
      <c r="U10" s="50"/>
      <c r="V10" s="50"/>
      <c r="W10" s="50"/>
      <c r="X10" s="50"/>
      <c r="Y10" s="50"/>
      <c r="Z10" s="50"/>
      <c r="AA10" s="50"/>
      <c r="AB10" s="48">
        <v>1185357000</v>
      </c>
      <c r="AC10" s="51">
        <f>AB10*F10</f>
        <v>88281597.284421295</v>
      </c>
      <c r="AD10" s="48">
        <v>189759000</v>
      </c>
      <c r="AE10" s="51">
        <f>AD10*F10</f>
        <v>14132643.2619831</v>
      </c>
      <c r="AF10" s="48">
        <v>551836000</v>
      </c>
      <c r="AG10" s="49">
        <f>AF10*F10</f>
        <v>41098979.9014524</v>
      </c>
      <c r="AH10" s="48">
        <v>2438975000</v>
      </c>
      <c r="AI10" s="48"/>
      <c r="AJ10" s="52">
        <v>324962000</v>
      </c>
      <c r="AK10" s="49">
        <f>AJ10*F10</f>
        <v>24202130.174065799</v>
      </c>
      <c r="AL10" s="52">
        <v>377226000</v>
      </c>
      <c r="AM10" s="49">
        <f>AL10*F10</f>
        <v>28094585.696303401</v>
      </c>
      <c r="AN10" s="48">
        <v>1401840000</v>
      </c>
      <c r="AO10" s="49">
        <f>AN10*F10</f>
        <v>104404558.57365601</v>
      </c>
      <c r="AP10" s="50">
        <v>3076</v>
      </c>
      <c r="AQ10" s="48">
        <v>3084024000</v>
      </c>
      <c r="AR10" s="51">
        <f>AQ10*F10</f>
        <v>229688241.4188216</v>
      </c>
      <c r="AS10" s="50">
        <f>AQ10-AT10</f>
        <v>1782594000</v>
      </c>
      <c r="AT10" s="48">
        <v>1301430000</v>
      </c>
      <c r="AU10" s="51">
        <f>AT10*F10</f>
        <v>96926342.995287001</v>
      </c>
      <c r="AV10" s="50">
        <v>842511000</v>
      </c>
      <c r="AW10" s="53">
        <f>AV10*F10</f>
        <v>62747524.003059901</v>
      </c>
      <c r="AX10" s="120">
        <v>31927635000</v>
      </c>
      <c r="AY10" s="135">
        <f>AX10*F10</f>
        <v>2377868115.1028714</v>
      </c>
      <c r="AZ10" s="120">
        <f>(AX10+31250376000)/2</f>
        <v>31589005500</v>
      </c>
      <c r="BA10" s="120"/>
      <c r="BB10" s="120">
        <v>2859957000</v>
      </c>
      <c r="BC10"/>
    </row>
    <row r="11" spans="1:56" x14ac:dyDescent="0.25">
      <c r="A11" s="8" t="s">
        <v>59</v>
      </c>
      <c r="B11" s="8" t="s">
        <v>89</v>
      </c>
      <c r="C11" s="9" t="s">
        <v>93</v>
      </c>
      <c r="D11" s="8" t="s">
        <v>91</v>
      </c>
      <c r="E11" s="8" t="s">
        <v>92</v>
      </c>
      <c r="F11" s="8">
        <v>7.4476800900000001E-2</v>
      </c>
      <c r="G11" s="10">
        <v>63635</v>
      </c>
      <c r="H11" s="10"/>
      <c r="I11" s="10">
        <v>6601</v>
      </c>
      <c r="J11" s="10">
        <v>15414995</v>
      </c>
      <c r="K11" s="11">
        <f t="shared" si="2"/>
        <v>1148059.5134894955</v>
      </c>
      <c r="L11" s="10">
        <v>10436943</v>
      </c>
      <c r="M11" s="11">
        <f t="shared" si="3"/>
        <v>777310.1258156487</v>
      </c>
      <c r="N11" s="10">
        <f>2793721+45305</f>
        <v>2839026</v>
      </c>
      <c r="O11" s="13">
        <f>N11*F11</f>
        <v>211441.57415192341</v>
      </c>
      <c r="P11" s="10">
        <f>1787978+60880</f>
        <v>1848858</v>
      </c>
      <c r="Q11" s="13">
        <f t="shared" si="0"/>
        <v>137697.0291583722</v>
      </c>
      <c r="R11" s="10">
        <v>4978052</v>
      </c>
      <c r="S11" s="11">
        <f t="shared" si="1"/>
        <v>370749.3876738468</v>
      </c>
      <c r="T11" s="12"/>
      <c r="U11" s="12"/>
      <c r="V11" s="12"/>
      <c r="W11" s="12"/>
      <c r="X11" s="12"/>
      <c r="Y11" s="12"/>
      <c r="Z11" s="12"/>
      <c r="AA11" s="12"/>
      <c r="AB11" s="12">
        <v>34921</v>
      </c>
      <c r="AC11" s="13">
        <f>AB11*F11</f>
        <v>2600.8043642288999</v>
      </c>
      <c r="AD11" s="12">
        <v>368315</v>
      </c>
      <c r="AE11" s="13">
        <f>AD11*F11</f>
        <v>27430.9229234835</v>
      </c>
      <c r="AF11" s="12">
        <v>967863</v>
      </c>
      <c r="AG11" s="11">
        <f>AF11*F11</f>
        <v>72083.339949476707</v>
      </c>
      <c r="AH11" s="10">
        <f>72736258+AS11</f>
        <v>72736258</v>
      </c>
      <c r="AI11" s="10"/>
      <c r="AK11" s="11"/>
      <c r="AL11" s="14"/>
      <c r="AM11" s="11"/>
      <c r="AN11" s="10">
        <v>29587108</v>
      </c>
      <c r="AO11" s="11">
        <f>AN11*F11</f>
        <v>2203553.1517227972</v>
      </c>
      <c r="AP11" s="12">
        <v>77</v>
      </c>
      <c r="AQ11" s="19"/>
      <c r="AR11" s="13"/>
      <c r="AS11" s="10"/>
      <c r="AT11" s="15">
        <v>-12718084</v>
      </c>
      <c r="AU11" s="13"/>
      <c r="AV11" s="15">
        <v>-12330393</v>
      </c>
      <c r="AW11" s="16">
        <f>AV11*F11</f>
        <v>-918328.22447975376</v>
      </c>
      <c r="AX11" s="119">
        <v>129065142</v>
      </c>
      <c r="AY11" s="17">
        <f>AX11*F11</f>
        <v>9612358.8838642277</v>
      </c>
      <c r="AZ11" s="119">
        <f>(AX11+135393917)/2</f>
        <v>132229529.5</v>
      </c>
      <c r="BA11" s="119">
        <v>16698035</v>
      </c>
      <c r="BB11" s="119">
        <v>4557500</v>
      </c>
      <c r="BC11" t="s">
        <v>0</v>
      </c>
    </row>
    <row r="12" spans="1:56" x14ac:dyDescent="0.25">
      <c r="A12" s="8" t="s">
        <v>59</v>
      </c>
      <c r="B12" s="8" t="s">
        <v>94</v>
      </c>
      <c r="C12" s="18" t="s">
        <v>95</v>
      </c>
      <c r="D12" s="73" t="s">
        <v>199</v>
      </c>
      <c r="E12" s="73" t="s">
        <v>97</v>
      </c>
      <c r="F12" s="73">
        <v>4.4669019999999998E-4</v>
      </c>
      <c r="G12" s="74">
        <v>3370000</v>
      </c>
      <c r="H12" s="74"/>
      <c r="I12" s="74">
        <v>146241</v>
      </c>
      <c r="J12" s="74">
        <v>103300000000</v>
      </c>
      <c r="K12" s="76">
        <f t="shared" si="2"/>
        <v>46143097.659999996</v>
      </c>
      <c r="L12" s="74">
        <f>J12*(100%-21.8%)</f>
        <v>80780600000</v>
      </c>
      <c r="M12" s="60">
        <f t="shared" si="3"/>
        <v>36083902.370119996</v>
      </c>
      <c r="N12" s="58"/>
      <c r="O12" s="61"/>
      <c r="P12" s="58"/>
      <c r="Q12" s="61">
        <f t="shared" si="0"/>
        <v>0</v>
      </c>
      <c r="R12" s="58">
        <f>J12*21.8%</f>
        <v>22519400000</v>
      </c>
      <c r="S12" s="60">
        <f t="shared" si="1"/>
        <v>10059195.28988</v>
      </c>
      <c r="T12" s="59"/>
      <c r="U12" s="59"/>
      <c r="V12" s="59"/>
      <c r="W12" s="59"/>
      <c r="X12" s="59"/>
      <c r="Y12" s="59"/>
      <c r="Z12" s="59"/>
      <c r="AA12" s="59"/>
      <c r="AB12" s="59"/>
      <c r="AC12" s="59"/>
      <c r="AD12" s="59"/>
      <c r="AE12" s="59"/>
      <c r="AF12" s="59"/>
      <c r="AG12" s="59"/>
      <c r="AH12" s="58"/>
      <c r="AI12" s="58"/>
      <c r="AJ12" s="63"/>
      <c r="AK12" s="58"/>
      <c r="AL12" s="63"/>
      <c r="AM12" s="58"/>
      <c r="AN12" s="58"/>
      <c r="AO12" s="58"/>
      <c r="AP12" s="59"/>
      <c r="AQ12" s="59"/>
      <c r="AR12" s="61"/>
      <c r="AS12" s="59"/>
      <c r="AT12" s="132"/>
      <c r="AU12" s="59"/>
      <c r="AV12" s="57"/>
      <c r="AW12" s="133"/>
      <c r="AX12" s="136"/>
      <c r="AY12" s="66"/>
      <c r="AZ12" s="123"/>
      <c r="BA12" s="123"/>
      <c r="BB12" s="123"/>
      <c r="BC12"/>
    </row>
    <row r="13" spans="1:56" x14ac:dyDescent="0.25">
      <c r="A13" s="8" t="s">
        <v>59</v>
      </c>
      <c r="B13" s="8" t="s">
        <v>98</v>
      </c>
      <c r="C13" s="9" t="s">
        <v>99</v>
      </c>
      <c r="D13" s="73" t="s">
        <v>100</v>
      </c>
      <c r="E13" s="73" t="s">
        <v>101</v>
      </c>
      <c r="F13" s="73">
        <v>0.10042</v>
      </c>
      <c r="G13" s="74">
        <v>1622263</v>
      </c>
      <c r="H13" s="74"/>
      <c r="I13" s="74">
        <v>58425</v>
      </c>
      <c r="J13" s="74">
        <f>L13+R13</f>
        <v>416319596</v>
      </c>
      <c r="K13" s="76">
        <f t="shared" si="2"/>
        <v>41806813.830320001</v>
      </c>
      <c r="L13" s="74">
        <f>351847279+39872913</f>
        <v>391720192</v>
      </c>
      <c r="M13" s="76">
        <f t="shared" si="3"/>
        <v>39336541.680639997</v>
      </c>
      <c r="N13" s="74">
        <v>124394518</v>
      </c>
      <c r="O13" s="77">
        <f>N13*F13</f>
        <v>12491697.49756</v>
      </c>
      <c r="P13" s="74">
        <f>57638160+2707500</f>
        <v>60345660</v>
      </c>
      <c r="Q13" s="77">
        <f t="shared" si="0"/>
        <v>6059911.1771999998</v>
      </c>
      <c r="R13" s="75">
        <v>24599404</v>
      </c>
      <c r="S13" s="76">
        <f t="shared" si="1"/>
        <v>2470272.1496799998</v>
      </c>
      <c r="T13" s="75"/>
      <c r="U13" s="75"/>
      <c r="V13" s="75"/>
      <c r="W13" s="74"/>
      <c r="X13" s="74">
        <v>1808743</v>
      </c>
      <c r="Y13" s="77">
        <f>X13*F13</f>
        <v>181633.97206</v>
      </c>
      <c r="Z13" s="74">
        <f>4188761+207813</f>
        <v>4396574</v>
      </c>
      <c r="AA13" s="77">
        <f>Z13*F13</f>
        <v>441503.96107999998</v>
      </c>
      <c r="AB13" s="75">
        <f>X13+Z13</f>
        <v>6205317</v>
      </c>
      <c r="AC13" s="77">
        <f>AB13*F13</f>
        <v>623137.93313999998</v>
      </c>
      <c r="AD13" s="74">
        <v>318859</v>
      </c>
      <c r="AE13" s="77">
        <f>AD13*F13</f>
        <v>32019.820779999998</v>
      </c>
      <c r="AF13" s="75">
        <v>3050383</v>
      </c>
      <c r="AG13" s="76">
        <f>AF13*F13</f>
        <v>306319.46085999999</v>
      </c>
      <c r="AH13" s="75">
        <f>297114940+AS13</f>
        <v>333345166</v>
      </c>
      <c r="AI13" s="75"/>
      <c r="AJ13" s="82">
        <v>3235882</v>
      </c>
      <c r="AK13" s="76">
        <f>AJ13*F13</f>
        <v>324947.27043999999</v>
      </c>
      <c r="AL13" s="82">
        <v>10475332</v>
      </c>
      <c r="AM13" s="76">
        <f>AL13*F13</f>
        <v>1051932.83944</v>
      </c>
      <c r="AN13" s="75">
        <v>153704262</v>
      </c>
      <c r="AO13" s="76">
        <f>AN13*F13</f>
        <v>15434981.990039999</v>
      </c>
      <c r="AP13" s="75">
        <v>815</v>
      </c>
      <c r="AQ13" s="75">
        <f>AS13+AT13</f>
        <v>119204656</v>
      </c>
      <c r="AR13" s="77">
        <f>AQ13*F13</f>
        <v>11970531.55552</v>
      </c>
      <c r="AS13" s="74">
        <v>36230226</v>
      </c>
      <c r="AT13" s="75">
        <f>J13-AH13</f>
        <v>82974430</v>
      </c>
      <c r="AU13" s="77">
        <f>AT13*F13</f>
        <v>8332292.2605999997</v>
      </c>
      <c r="AV13" s="75">
        <v>41484269</v>
      </c>
      <c r="AW13" s="79">
        <f>AV13*F13</f>
        <v>4165850.2929799999</v>
      </c>
      <c r="AX13" s="124">
        <v>768435295</v>
      </c>
      <c r="AY13" s="80">
        <f>AX13*F13</f>
        <v>77166272.323899999</v>
      </c>
      <c r="AZ13" s="124">
        <f>(AX13+768435295)/2</f>
        <v>768435295</v>
      </c>
      <c r="BA13" s="124">
        <v>37267861</v>
      </c>
      <c r="BB13" s="124">
        <v>114174044</v>
      </c>
      <c r="BC13" t="s">
        <v>102</v>
      </c>
    </row>
    <row r="14" spans="1:56" x14ac:dyDescent="0.25">
      <c r="A14" s="8" t="s">
        <v>103</v>
      </c>
      <c r="B14" s="8" t="s">
        <v>104</v>
      </c>
      <c r="C14" s="18" t="s">
        <v>105</v>
      </c>
      <c r="D14" s="8" t="s">
        <v>83</v>
      </c>
      <c r="E14" s="8" t="s">
        <v>106</v>
      </c>
      <c r="F14" s="8">
        <v>0.1069421154</v>
      </c>
      <c r="G14" s="10">
        <v>20357866</v>
      </c>
      <c r="H14" s="10"/>
      <c r="I14" s="10">
        <v>175304</v>
      </c>
      <c r="J14" s="10">
        <v>3747836111</v>
      </c>
      <c r="K14" s="11">
        <f t="shared" si="2"/>
        <v>400801521.88284922</v>
      </c>
      <c r="L14" s="10">
        <f>(2.98/3.7)*J14</f>
        <v>3018527462.372973</v>
      </c>
      <c r="M14" s="11">
        <f t="shared" si="3"/>
        <v>322807712.2191596</v>
      </c>
      <c r="N14" s="12"/>
      <c r="O14" s="13"/>
      <c r="P14" s="12"/>
      <c r="Q14" s="13">
        <f t="shared" si="0"/>
        <v>0</v>
      </c>
      <c r="R14" s="10">
        <f>J14-L14</f>
        <v>729308648.62702703</v>
      </c>
      <c r="S14" s="11">
        <f t="shared" si="1"/>
        <v>77993809.663689569</v>
      </c>
      <c r="T14" s="12"/>
      <c r="U14" s="12"/>
      <c r="V14" s="12"/>
      <c r="W14" s="12"/>
      <c r="X14" s="12"/>
      <c r="Y14" s="12"/>
      <c r="Z14" s="12"/>
      <c r="AA14" s="12"/>
      <c r="AB14" s="12"/>
      <c r="AC14" s="12"/>
      <c r="AD14" s="12"/>
      <c r="AE14" s="12"/>
      <c r="AF14" s="12"/>
      <c r="AG14" s="12"/>
      <c r="AH14" s="12">
        <v>2431044211</v>
      </c>
      <c r="AI14" s="12"/>
      <c r="AJ14" s="14"/>
      <c r="AK14" s="11"/>
      <c r="AL14" s="14"/>
      <c r="AM14" s="11"/>
      <c r="AN14" s="10">
        <v>705529698</v>
      </c>
      <c r="AO14" s="11">
        <f>AN14*F14</f>
        <v>75450838.381643146</v>
      </c>
      <c r="AP14" s="12">
        <v>2458</v>
      </c>
      <c r="AQ14" s="12"/>
      <c r="AR14" s="13"/>
      <c r="AS14" s="12"/>
      <c r="AT14" s="12"/>
      <c r="AU14" s="12"/>
      <c r="AV14" s="15"/>
      <c r="AW14" s="16"/>
      <c r="AX14" s="121"/>
      <c r="AY14" s="16"/>
      <c r="AZ14" s="121"/>
      <c r="BA14" s="121"/>
      <c r="BB14" s="121"/>
      <c r="BC14" t="s">
        <v>107</v>
      </c>
    </row>
    <row r="15" spans="1:56" x14ac:dyDescent="0.25">
      <c r="A15" s="8" t="s">
        <v>103</v>
      </c>
      <c r="B15" s="8" t="s">
        <v>108</v>
      </c>
      <c r="C15" s="9" t="s">
        <v>109</v>
      </c>
      <c r="D15" s="47" t="s">
        <v>527</v>
      </c>
      <c r="E15" s="47" t="s">
        <v>110</v>
      </c>
      <c r="F15" s="47">
        <v>1.1998614888000001</v>
      </c>
      <c r="G15" s="48">
        <v>2490000</v>
      </c>
      <c r="H15" s="48"/>
      <c r="I15" s="48" t="s">
        <v>68</v>
      </c>
      <c r="J15" s="48">
        <v>32700000</v>
      </c>
      <c r="K15" s="49">
        <f t="shared" si="2"/>
        <v>39235470.683760002</v>
      </c>
      <c r="L15" s="50"/>
      <c r="M15" s="49"/>
      <c r="N15" s="50"/>
      <c r="O15" s="51"/>
      <c r="P15" s="50"/>
      <c r="Q15" s="51">
        <f t="shared" si="0"/>
        <v>0</v>
      </c>
      <c r="R15" s="50"/>
      <c r="S15" s="49">
        <f t="shared" si="1"/>
        <v>0</v>
      </c>
      <c r="T15" s="50"/>
      <c r="U15" s="50"/>
      <c r="V15" s="50"/>
      <c r="W15" s="50"/>
      <c r="X15" s="50"/>
      <c r="Y15" s="50"/>
      <c r="Z15" s="50"/>
      <c r="AA15" s="50"/>
      <c r="AB15" s="50"/>
      <c r="AC15" s="50"/>
      <c r="AD15" s="50"/>
      <c r="AE15" s="50"/>
      <c r="AF15" s="50"/>
      <c r="AG15" s="50"/>
      <c r="AH15" s="50"/>
      <c r="AI15" s="50"/>
      <c r="AJ15" s="56"/>
      <c r="AK15" s="50"/>
      <c r="AL15" s="56"/>
      <c r="AM15" s="50"/>
      <c r="AN15" s="50"/>
      <c r="AO15" s="50"/>
      <c r="AP15" s="50">
        <v>749</v>
      </c>
      <c r="AQ15" s="52">
        <v>8900000</v>
      </c>
      <c r="AR15" s="51">
        <f>AQ15*F15</f>
        <v>10678767.250320001</v>
      </c>
      <c r="AS15" s="50"/>
      <c r="AT15" s="50"/>
      <c r="AU15" s="50"/>
      <c r="AV15" s="56"/>
      <c r="AW15" s="53"/>
      <c r="AX15" s="122"/>
      <c r="AY15" s="53"/>
      <c r="AZ15" s="122"/>
      <c r="BA15" s="122" t="s">
        <v>0</v>
      </c>
      <c r="BB15" s="122"/>
      <c r="BC15"/>
      <c r="BD15" s="8" t="s">
        <v>6</v>
      </c>
    </row>
    <row r="16" spans="1:56" x14ac:dyDescent="0.25">
      <c r="A16" s="8" t="s">
        <v>103</v>
      </c>
      <c r="B16" s="8" t="s">
        <v>111</v>
      </c>
      <c r="C16" s="18" t="s">
        <v>112</v>
      </c>
      <c r="D16" s="8" t="s">
        <v>113</v>
      </c>
      <c r="E16" s="8" t="s">
        <v>114</v>
      </c>
      <c r="F16" s="8">
        <v>0.12779552720000001</v>
      </c>
      <c r="G16" s="10">
        <v>14059891</v>
      </c>
      <c r="H16" s="10"/>
      <c r="I16" s="10" t="s">
        <v>68</v>
      </c>
      <c r="J16" s="10">
        <v>2632000000</v>
      </c>
      <c r="K16" s="11">
        <f t="shared" si="2"/>
        <v>336357827.59040004</v>
      </c>
      <c r="M16" s="11"/>
      <c r="N16" s="12"/>
      <c r="O16" s="13"/>
      <c r="P16" s="12"/>
      <c r="Q16" s="13">
        <f t="shared" si="0"/>
        <v>0</v>
      </c>
      <c r="R16" s="12"/>
      <c r="S16" s="11">
        <f t="shared" si="1"/>
        <v>0</v>
      </c>
      <c r="T16" s="12"/>
      <c r="U16" s="12"/>
      <c r="V16" s="12"/>
      <c r="W16" s="12"/>
      <c r="X16" s="12"/>
      <c r="Y16" s="12"/>
      <c r="Z16" s="12"/>
      <c r="AA16" s="12"/>
      <c r="AB16" s="12"/>
      <c r="AC16" s="12"/>
      <c r="AD16" s="12"/>
      <c r="AE16" s="12"/>
      <c r="AF16" s="12"/>
      <c r="AG16" s="12"/>
      <c r="AH16" s="12"/>
      <c r="AI16" s="12"/>
      <c r="AJ16" s="15"/>
      <c r="AK16" s="12"/>
      <c r="AL16" s="15"/>
      <c r="AM16" s="12"/>
      <c r="AN16" s="12"/>
      <c r="AO16" s="12"/>
      <c r="AP16" s="12"/>
      <c r="AQ16" s="12"/>
      <c r="AR16" s="13"/>
      <c r="AS16" s="12"/>
      <c r="AT16" s="12"/>
      <c r="AU16" s="10"/>
      <c r="AV16" s="14">
        <v>433000000</v>
      </c>
      <c r="AW16" s="16">
        <f>AV16*F16</f>
        <v>55335463.277600005</v>
      </c>
      <c r="AX16" s="119"/>
      <c r="AY16" s="17"/>
      <c r="AZ16" s="119"/>
      <c r="BA16" s="119"/>
      <c r="BB16" s="119"/>
      <c r="BC16"/>
    </row>
    <row r="17" spans="1:55" x14ac:dyDescent="0.25">
      <c r="A17" s="8" t="s">
        <v>115</v>
      </c>
      <c r="B17" s="8" t="s">
        <v>116</v>
      </c>
      <c r="C17" s="18" t="s">
        <v>117</v>
      </c>
      <c r="D17" s="8" t="s">
        <v>83</v>
      </c>
      <c r="E17" s="8" t="s">
        <v>118</v>
      </c>
      <c r="F17" s="8">
        <v>2.6595744681000002</v>
      </c>
      <c r="G17" s="10">
        <v>8477331</v>
      </c>
      <c r="H17" s="10">
        <v>8477331</v>
      </c>
      <c r="I17" s="10">
        <v>95966</v>
      </c>
      <c r="J17" s="10">
        <v>42000000</v>
      </c>
      <c r="K17" s="11">
        <f t="shared" si="2"/>
        <v>111702127.66020001</v>
      </c>
      <c r="M17" s="11"/>
      <c r="N17" s="12"/>
      <c r="O17" s="13"/>
      <c r="P17" s="12"/>
      <c r="Q17" s="13">
        <f t="shared" si="0"/>
        <v>0</v>
      </c>
      <c r="R17" s="12"/>
      <c r="S17" s="11">
        <f t="shared" si="1"/>
        <v>0</v>
      </c>
      <c r="T17" s="12"/>
      <c r="U17" s="12">
        <v>2183066</v>
      </c>
      <c r="V17" s="20">
        <f>U17*F17</f>
        <v>5806026.5957771949</v>
      </c>
      <c r="W17" s="12"/>
      <c r="X17" s="12"/>
      <c r="Y17" s="12"/>
      <c r="Z17" s="12"/>
      <c r="AA17" s="12"/>
      <c r="AB17" s="12"/>
      <c r="AC17" s="12"/>
      <c r="AD17" s="12"/>
      <c r="AE17" s="12"/>
      <c r="AF17" s="12"/>
      <c r="AG17" s="12"/>
      <c r="AH17" s="12"/>
      <c r="AI17" s="12"/>
      <c r="AJ17" s="15"/>
      <c r="AK17" s="12"/>
      <c r="AL17" s="15"/>
      <c r="AM17" s="12"/>
      <c r="AN17" s="12"/>
      <c r="AO17" s="12"/>
      <c r="AP17" s="12"/>
      <c r="AQ17" s="12"/>
      <c r="AR17" s="13"/>
      <c r="AS17" s="12"/>
      <c r="AT17" s="12"/>
      <c r="AU17" s="12"/>
      <c r="AV17" s="15">
        <v>12900000</v>
      </c>
      <c r="AW17" s="16">
        <f>AV17*F17</f>
        <v>34308510.638489999</v>
      </c>
      <c r="AX17" s="119" t="s">
        <v>550</v>
      </c>
      <c r="AY17" s="17"/>
      <c r="AZ17" s="119"/>
      <c r="BA17" s="119"/>
      <c r="BB17" s="119"/>
      <c r="BC17"/>
    </row>
    <row r="18" spans="1:55" x14ac:dyDescent="0.25">
      <c r="A18" s="8" t="s">
        <v>115</v>
      </c>
      <c r="B18" s="8" t="s">
        <v>119</v>
      </c>
      <c r="C18" s="18" t="s">
        <v>120</v>
      </c>
      <c r="D18" s="8" t="s">
        <v>83</v>
      </c>
      <c r="E18" s="8" t="s">
        <v>121</v>
      </c>
      <c r="F18" s="8">
        <v>0.28719135820000002</v>
      </c>
      <c r="G18" s="10">
        <f>(10228+10235)*(1000)</f>
        <v>20463000</v>
      </c>
      <c r="H18" s="10"/>
      <c r="I18" s="10" t="s">
        <v>68</v>
      </c>
      <c r="J18" s="10">
        <v>3715000000</v>
      </c>
      <c r="K18" s="11">
        <f t="shared" si="2"/>
        <v>1066915895.7130001</v>
      </c>
      <c r="M18" s="11"/>
      <c r="N18" s="12"/>
      <c r="O18" s="13"/>
      <c r="P18" s="12"/>
      <c r="Q18" s="13">
        <f t="shared" si="0"/>
        <v>0</v>
      </c>
      <c r="R18" s="12"/>
      <c r="S18" s="11">
        <f t="shared" si="1"/>
        <v>0</v>
      </c>
      <c r="T18" s="12"/>
      <c r="U18" s="12"/>
      <c r="V18" s="12"/>
      <c r="W18" s="12"/>
      <c r="X18" s="12"/>
      <c r="Y18" s="12"/>
      <c r="Z18" s="12"/>
      <c r="AA18" s="12"/>
      <c r="AB18" s="12"/>
      <c r="AC18" s="12"/>
      <c r="AD18" s="12"/>
      <c r="AE18" s="12"/>
      <c r="AF18" s="12"/>
      <c r="AG18" s="12"/>
      <c r="AH18" s="12"/>
      <c r="AI18" s="12"/>
      <c r="AJ18" s="15"/>
      <c r="AK18" s="12"/>
      <c r="AL18" s="15"/>
      <c r="AM18" s="12"/>
      <c r="AN18" s="12"/>
      <c r="AO18" s="12"/>
      <c r="AP18" s="12"/>
      <c r="AQ18" s="12"/>
      <c r="AR18" s="13"/>
      <c r="AS18" s="12"/>
      <c r="AT18" s="12"/>
      <c r="AU18" s="12"/>
      <c r="AV18" s="15"/>
      <c r="AW18" s="16"/>
      <c r="AX18" s="121"/>
      <c r="AY18" s="16"/>
      <c r="AZ18" s="121"/>
      <c r="BA18" s="121"/>
      <c r="BB18" s="121"/>
      <c r="BC18"/>
    </row>
    <row r="19" spans="1:55" x14ac:dyDescent="0.25">
      <c r="A19" s="8" t="s">
        <v>115</v>
      </c>
      <c r="B19" s="8" t="s">
        <v>122</v>
      </c>
      <c r="C19" s="9" t="s">
        <v>123</v>
      </c>
      <c r="D19" s="8" t="s">
        <v>83</v>
      </c>
      <c r="E19" s="8" t="s">
        <v>110</v>
      </c>
      <c r="F19" s="8">
        <v>1.1998614888000001</v>
      </c>
      <c r="G19" s="10">
        <v>7914704</v>
      </c>
      <c r="H19" s="10"/>
      <c r="I19" s="10">
        <v>74044</v>
      </c>
      <c r="J19" s="10" t="s">
        <v>68</v>
      </c>
      <c r="K19" s="11"/>
      <c r="M19" s="11"/>
      <c r="N19" s="12"/>
      <c r="O19" s="13"/>
      <c r="P19" s="12"/>
      <c r="Q19" s="13">
        <f t="shared" si="0"/>
        <v>0</v>
      </c>
      <c r="R19" s="12"/>
      <c r="S19" s="11">
        <f t="shared" si="1"/>
        <v>0</v>
      </c>
      <c r="T19" s="12"/>
      <c r="U19" s="12"/>
      <c r="V19" s="12"/>
      <c r="W19" s="12"/>
      <c r="X19" s="12"/>
      <c r="Y19" s="12"/>
      <c r="Z19" s="12"/>
      <c r="AA19" s="12"/>
      <c r="AB19" s="12"/>
      <c r="AC19" s="12"/>
      <c r="AD19" s="12"/>
      <c r="AE19" s="12"/>
      <c r="AF19" s="12"/>
      <c r="AG19" s="12"/>
      <c r="AH19" s="12"/>
      <c r="AI19" s="12"/>
      <c r="AJ19" s="15"/>
      <c r="AK19" s="12"/>
      <c r="AL19" s="15"/>
      <c r="AM19" s="12"/>
      <c r="AN19" s="12"/>
      <c r="AO19" s="12"/>
      <c r="AP19" s="12"/>
      <c r="AQ19" s="10">
        <v>66300000</v>
      </c>
      <c r="AR19" s="13">
        <f>AQ19*F19</f>
        <v>79550816.707440004</v>
      </c>
      <c r="AS19" s="12"/>
      <c r="AT19" s="12"/>
      <c r="AU19" s="12"/>
      <c r="AV19" s="15"/>
      <c r="AW19" s="16"/>
      <c r="AX19" s="121"/>
      <c r="AY19" s="16"/>
      <c r="AZ19" s="121" t="s">
        <v>551</v>
      </c>
      <c r="BA19" s="121"/>
      <c r="BB19" s="121"/>
      <c r="BC19"/>
    </row>
    <row r="20" spans="1:55" x14ac:dyDescent="0.25">
      <c r="A20" s="8" t="s">
        <v>115</v>
      </c>
      <c r="B20" s="8" t="s">
        <v>124</v>
      </c>
      <c r="C20" s="18" t="s">
        <v>125</v>
      </c>
      <c r="D20" s="8" t="s">
        <v>66</v>
      </c>
      <c r="E20" s="8" t="s">
        <v>126</v>
      </c>
      <c r="F20" s="8">
        <v>4.0011203999999996E-3</v>
      </c>
      <c r="G20" s="10">
        <v>39808</v>
      </c>
      <c r="H20" s="10"/>
      <c r="I20" s="12">
        <v>451</v>
      </c>
      <c r="J20" s="10">
        <v>255000000</v>
      </c>
      <c r="K20" s="11">
        <f t="shared" ref="K20:K41" si="4">J20*F20</f>
        <v>1020285.7019999999</v>
      </c>
      <c r="M20" s="11"/>
      <c r="N20" s="12"/>
      <c r="O20" s="13"/>
      <c r="P20" s="12"/>
      <c r="Q20" s="13">
        <f t="shared" si="0"/>
        <v>0</v>
      </c>
      <c r="R20" s="12"/>
      <c r="S20" s="11">
        <f t="shared" si="1"/>
        <v>0</v>
      </c>
      <c r="T20" s="12"/>
      <c r="U20" s="12"/>
      <c r="V20" s="12"/>
      <c r="W20" s="12"/>
      <c r="X20" s="12"/>
      <c r="Y20" s="12"/>
      <c r="Z20" s="12"/>
      <c r="AA20" s="12"/>
      <c r="AB20" s="12"/>
      <c r="AC20" s="12"/>
      <c r="AD20" s="12"/>
      <c r="AE20" s="12"/>
      <c r="AF20" s="12"/>
      <c r="AG20" s="12"/>
      <c r="AH20" s="12"/>
      <c r="AI20" s="12"/>
      <c r="AJ20" s="15"/>
      <c r="AK20" s="12"/>
      <c r="AL20" s="15"/>
      <c r="AM20" s="12"/>
      <c r="AN20" s="12"/>
      <c r="AO20" s="12"/>
      <c r="AP20" s="12"/>
      <c r="AQ20" s="12"/>
      <c r="AR20" s="13"/>
      <c r="AS20" s="12"/>
      <c r="AT20" s="12"/>
      <c r="AU20" s="12"/>
      <c r="AV20" s="15"/>
      <c r="AW20" s="16"/>
      <c r="AX20" s="121"/>
      <c r="AY20" s="16"/>
      <c r="AZ20" s="121"/>
      <c r="BA20" s="121"/>
      <c r="BB20" s="121"/>
      <c r="BC20" t="s">
        <v>0</v>
      </c>
    </row>
    <row r="21" spans="1:55" x14ac:dyDescent="0.25">
      <c r="A21" s="8" t="s">
        <v>115</v>
      </c>
      <c r="B21" s="8" t="s">
        <v>127</v>
      </c>
      <c r="C21" s="18" t="s">
        <v>128</v>
      </c>
      <c r="D21" s="73" t="s">
        <v>527</v>
      </c>
      <c r="E21" s="73" t="s">
        <v>110</v>
      </c>
      <c r="F21" s="73">
        <v>1.1998614888000001</v>
      </c>
      <c r="G21" s="74">
        <v>8144000</v>
      </c>
      <c r="H21" s="74"/>
      <c r="I21" s="75"/>
      <c r="J21" s="74">
        <v>71200000</v>
      </c>
      <c r="K21" s="76">
        <f t="shared" si="4"/>
        <v>85430138.002560005</v>
      </c>
      <c r="L21" s="75"/>
      <c r="M21" s="76"/>
      <c r="N21" s="75"/>
      <c r="O21" s="77"/>
      <c r="P21" s="75"/>
      <c r="Q21" s="77"/>
      <c r="R21" s="75"/>
      <c r="S21" s="76"/>
      <c r="T21" s="75"/>
      <c r="U21" s="75"/>
      <c r="V21" s="75"/>
      <c r="W21" s="75"/>
      <c r="X21" s="75"/>
      <c r="Y21" s="75"/>
      <c r="Z21" s="75"/>
      <c r="AA21" s="75"/>
      <c r="AB21" s="75"/>
      <c r="AC21" s="75"/>
      <c r="AD21" s="75"/>
      <c r="AE21" s="75"/>
      <c r="AF21" s="75"/>
      <c r="AG21" s="75"/>
      <c r="AH21" s="75"/>
      <c r="AI21" s="75"/>
      <c r="AJ21" s="78"/>
      <c r="AK21" s="75"/>
      <c r="AL21" s="78"/>
      <c r="AM21" s="75"/>
      <c r="AN21" s="75"/>
      <c r="AO21" s="75"/>
      <c r="AP21" s="75"/>
      <c r="AQ21" s="75">
        <v>16400000</v>
      </c>
      <c r="AR21" s="77"/>
      <c r="AS21" s="75"/>
      <c r="AT21" s="75"/>
      <c r="AU21" s="75"/>
      <c r="AV21" s="78">
        <v>-8500000</v>
      </c>
      <c r="AW21" s="79">
        <f>AV21*F21</f>
        <v>-10198822.654800002</v>
      </c>
      <c r="AX21" s="125"/>
      <c r="AY21" s="79"/>
      <c r="AZ21" s="125"/>
      <c r="BA21" s="125"/>
      <c r="BB21" s="125"/>
      <c r="BC21"/>
    </row>
    <row r="22" spans="1:55" x14ac:dyDescent="0.25">
      <c r="A22" s="8" t="s">
        <v>115</v>
      </c>
      <c r="B22" s="8" t="s">
        <v>127</v>
      </c>
      <c r="C22" s="18" t="s">
        <v>129</v>
      </c>
      <c r="D22" s="8" t="s">
        <v>83</v>
      </c>
      <c r="E22" s="8" t="s">
        <v>130</v>
      </c>
      <c r="F22" s="8">
        <v>0.2666666667</v>
      </c>
      <c r="G22" s="10">
        <v>25425000</v>
      </c>
      <c r="H22" s="10"/>
      <c r="I22" s="12" t="s">
        <v>68</v>
      </c>
      <c r="J22" s="12">
        <v>3600000000</v>
      </c>
      <c r="K22" s="13">
        <f t="shared" si="4"/>
        <v>960000000.12</v>
      </c>
      <c r="M22" s="11"/>
      <c r="N22" s="12"/>
      <c r="O22" s="13"/>
      <c r="P22" s="12"/>
      <c r="Q22" s="13">
        <f t="shared" si="0"/>
        <v>0</v>
      </c>
      <c r="R22" s="12"/>
      <c r="S22" s="11">
        <f t="shared" ref="S22:S46" si="5">R22*F22</f>
        <v>0</v>
      </c>
      <c r="T22" s="12"/>
      <c r="U22" s="12"/>
      <c r="V22" s="12"/>
      <c r="W22" s="12"/>
      <c r="X22" s="12"/>
      <c r="Y22" s="12"/>
      <c r="Z22" s="12"/>
      <c r="AA22" s="12"/>
      <c r="AB22" s="12"/>
      <c r="AC22" s="12"/>
      <c r="AD22" s="12"/>
      <c r="AE22" s="12"/>
      <c r="AF22" s="12"/>
      <c r="AG22" s="12"/>
      <c r="AH22" s="12"/>
      <c r="AI22" s="12"/>
      <c r="AJ22" s="15"/>
      <c r="AK22" s="12"/>
      <c r="AL22" s="15"/>
      <c r="AM22" s="12"/>
      <c r="AN22" s="12"/>
      <c r="AO22" s="12"/>
      <c r="AP22" s="12"/>
      <c r="AQ22" s="12"/>
      <c r="AR22" s="13"/>
      <c r="AS22" s="12"/>
      <c r="AT22" s="12"/>
      <c r="AU22" s="12"/>
      <c r="AV22" s="15"/>
      <c r="AW22" s="16"/>
      <c r="AX22" s="121"/>
      <c r="AY22" s="16"/>
      <c r="AZ22" s="121"/>
      <c r="BA22" s="121"/>
      <c r="BB22" s="121"/>
      <c r="BC22"/>
    </row>
    <row r="23" spans="1:55" x14ac:dyDescent="0.25">
      <c r="A23" s="8" t="s">
        <v>115</v>
      </c>
      <c r="B23" s="8" t="s">
        <v>127</v>
      </c>
      <c r="C23" s="18" t="s">
        <v>131</v>
      </c>
      <c r="D23" s="8" t="s">
        <v>83</v>
      </c>
      <c r="E23" s="8" t="s">
        <v>130</v>
      </c>
      <c r="F23" s="8">
        <v>0.2666666667</v>
      </c>
      <c r="G23" s="10">
        <v>34000000</v>
      </c>
      <c r="H23" s="10"/>
      <c r="I23" s="12" t="s">
        <v>68</v>
      </c>
      <c r="J23" s="10">
        <v>5300000000</v>
      </c>
      <c r="K23" s="11">
        <f t="shared" si="4"/>
        <v>1413333333.51</v>
      </c>
      <c r="M23" s="11"/>
      <c r="N23" s="12"/>
      <c r="O23" s="13"/>
      <c r="P23" s="12"/>
      <c r="Q23" s="13">
        <f t="shared" si="0"/>
        <v>0</v>
      </c>
      <c r="R23" s="12"/>
      <c r="S23" s="11">
        <f t="shared" si="5"/>
        <v>0</v>
      </c>
      <c r="T23" s="12"/>
      <c r="U23" s="12"/>
      <c r="V23" s="12"/>
      <c r="W23" s="12"/>
      <c r="X23" s="12"/>
      <c r="Y23" s="12"/>
      <c r="Z23" s="12"/>
      <c r="AA23" s="12"/>
      <c r="AB23" s="12"/>
      <c r="AC23" s="12"/>
      <c r="AD23" s="12"/>
      <c r="AE23" s="12"/>
      <c r="AF23" s="12"/>
      <c r="AG23" s="12"/>
      <c r="AH23" s="12"/>
      <c r="AI23" s="12"/>
      <c r="AJ23" s="15"/>
      <c r="AK23" s="12"/>
      <c r="AL23" s="15"/>
      <c r="AM23" s="12"/>
      <c r="AN23" s="12"/>
      <c r="AO23" s="12"/>
      <c r="AP23" s="12"/>
      <c r="AQ23" s="12"/>
      <c r="AR23" s="13"/>
      <c r="AS23" s="12"/>
      <c r="AT23" s="12"/>
      <c r="AU23" s="12"/>
      <c r="AV23" s="15"/>
      <c r="AW23" s="16"/>
      <c r="AX23" s="121"/>
      <c r="AY23" s="16"/>
      <c r="AZ23" s="121"/>
      <c r="BA23" s="121"/>
      <c r="BB23" s="121"/>
      <c r="BC23"/>
    </row>
    <row r="24" spans="1:55" x14ac:dyDescent="0.25">
      <c r="A24" s="8" t="s">
        <v>132</v>
      </c>
      <c r="B24" s="8" t="s">
        <v>133</v>
      </c>
      <c r="C24" s="9" t="s">
        <v>134</v>
      </c>
      <c r="D24" s="8" t="s">
        <v>135</v>
      </c>
      <c r="E24" s="8" t="s">
        <v>136</v>
      </c>
      <c r="F24" s="8">
        <v>1.5352355099999999E-2</v>
      </c>
      <c r="G24" s="10">
        <v>48500000</v>
      </c>
      <c r="H24" s="10"/>
      <c r="I24" s="10">
        <v>675435</v>
      </c>
      <c r="J24" s="10">
        <f>3342.32*10000000</f>
        <v>33423200000</v>
      </c>
      <c r="K24" s="11">
        <f t="shared" si="4"/>
        <v>513124834.97832</v>
      </c>
      <c r="M24" s="11"/>
      <c r="N24" s="12"/>
      <c r="O24" s="13"/>
      <c r="P24" s="12"/>
      <c r="Q24" s="13">
        <f t="shared" si="0"/>
        <v>0</v>
      </c>
      <c r="R24" s="12"/>
      <c r="S24" s="11">
        <f t="shared" si="5"/>
        <v>0</v>
      </c>
      <c r="T24" s="12"/>
      <c r="U24" s="12"/>
      <c r="V24" s="12"/>
      <c r="W24" s="12"/>
      <c r="X24" s="12"/>
      <c r="Y24" s="12"/>
      <c r="Z24" s="12"/>
      <c r="AA24" s="12"/>
      <c r="AB24" s="12"/>
      <c r="AC24" s="12"/>
      <c r="AD24" s="12"/>
      <c r="AE24" s="12"/>
      <c r="AF24" s="12"/>
      <c r="AG24" s="12"/>
      <c r="AH24" s="12"/>
      <c r="AI24" s="12"/>
      <c r="AJ24" s="15"/>
      <c r="AK24" s="12"/>
      <c r="AL24" s="15"/>
      <c r="AM24" s="12"/>
      <c r="AN24" s="12"/>
      <c r="AO24" s="12"/>
      <c r="AP24" s="12"/>
      <c r="AQ24" s="12">
        <f>42.1%*J24</f>
        <v>14071167200.000002</v>
      </c>
      <c r="AR24" s="13">
        <f t="shared" ref="AR24:AR30" si="6">AQ24*F24</f>
        <v>216025555.52587274</v>
      </c>
      <c r="AS24" s="12"/>
      <c r="AT24" s="12"/>
      <c r="AU24" s="12"/>
      <c r="AV24" s="15"/>
      <c r="AW24" s="16"/>
      <c r="AX24" s="121"/>
      <c r="AY24" s="16"/>
      <c r="AZ24" s="121"/>
      <c r="BA24" s="121"/>
      <c r="BB24" s="121"/>
      <c r="BC24"/>
    </row>
    <row r="25" spans="1:55" x14ac:dyDescent="0.25">
      <c r="A25" s="8" t="s">
        <v>132</v>
      </c>
      <c r="B25" s="8" t="s">
        <v>133</v>
      </c>
      <c r="C25" s="9" t="s">
        <v>137</v>
      </c>
      <c r="D25" s="8" t="s">
        <v>138</v>
      </c>
      <c r="E25" s="8" t="s">
        <v>136</v>
      </c>
      <c r="F25" s="8">
        <v>1.5352355099999999E-2</v>
      </c>
      <c r="G25" s="10">
        <v>10119064</v>
      </c>
      <c r="H25" s="10">
        <v>5400000</v>
      </c>
      <c r="I25" s="10">
        <v>69665</v>
      </c>
      <c r="J25" s="10">
        <f>L25+R25</f>
        <v>6861039000</v>
      </c>
      <c r="K25" s="11">
        <f t="shared" si="4"/>
        <v>105333107.08294889</v>
      </c>
      <c r="L25" s="10">
        <f>34481.05*100000</f>
        <v>3448105000.0000005</v>
      </c>
      <c r="M25" s="11">
        <f t="shared" ref="M25:M30" si="7">F25*L25</f>
        <v>52936532.382085502</v>
      </c>
      <c r="N25" s="10">
        <f>3942.57*100000</f>
        <v>394257000</v>
      </c>
      <c r="O25" s="13">
        <f>N25*F25</f>
        <v>6052773.4646606995</v>
      </c>
      <c r="P25" s="10">
        <f>(9246.83+4.15)*100000</f>
        <v>925098000</v>
      </c>
      <c r="Q25" s="13">
        <f t="shared" si="0"/>
        <v>14202432.9982998</v>
      </c>
      <c r="R25" s="10">
        <f>(10493.34+23636)*100000</f>
        <v>3412933999.9999995</v>
      </c>
      <c r="S25" s="11">
        <f t="shared" si="5"/>
        <v>52396574.700863391</v>
      </c>
      <c r="T25" s="12"/>
      <c r="U25" s="10">
        <f>23636.2*100000</f>
        <v>2363620000</v>
      </c>
      <c r="V25" s="20">
        <f>U25*F25</f>
        <v>36287133.561462</v>
      </c>
      <c r="W25" s="12"/>
      <c r="X25" s="12"/>
      <c r="Y25" s="12"/>
      <c r="Z25" s="12"/>
      <c r="AA25" s="12"/>
      <c r="AB25" s="12"/>
      <c r="AC25" s="12"/>
      <c r="AD25" s="12"/>
      <c r="AE25" s="12"/>
      <c r="AF25" s="12"/>
      <c r="AG25" s="12"/>
      <c r="AH25" s="10">
        <f>165.49*10000000+AS25</f>
        <v>2690900000</v>
      </c>
      <c r="AI25" s="10"/>
      <c r="AJ25" s="14">
        <f>1057.27*100000</f>
        <v>105727000</v>
      </c>
      <c r="AK25" s="11">
        <f>AJ25*F25</f>
        <v>1623158.4476576999</v>
      </c>
      <c r="AL25" s="14">
        <f>(835.26+1696.7+52.34)*100000</f>
        <v>258430000.00000003</v>
      </c>
      <c r="AM25" s="11">
        <f>AL25*F25</f>
        <v>3967509.1284930003</v>
      </c>
      <c r="AN25" s="12">
        <f>7045.94*100000</f>
        <v>704594000</v>
      </c>
      <c r="AO25" s="11">
        <f t="shared" ref="AO25:AO30" si="8">AN25*F25</f>
        <v>10817177.2893294</v>
      </c>
      <c r="AP25" s="12"/>
      <c r="AQ25" s="10">
        <f>387.93*10000000</f>
        <v>3879300000</v>
      </c>
      <c r="AR25" s="13">
        <f t="shared" si="6"/>
        <v>59556391.139430001</v>
      </c>
      <c r="AS25" s="10">
        <f>103.6*10000000</f>
        <v>1036000000</v>
      </c>
      <c r="AT25" s="10">
        <f>AQ25-AS25</f>
        <v>2843300000</v>
      </c>
      <c r="AU25" s="13">
        <f t="shared" ref="AU25:AU31" si="9">AT25*F25</f>
        <v>43651351.255829997</v>
      </c>
      <c r="AV25" s="15">
        <f>158.42*10000000</f>
        <v>1584199999.9999998</v>
      </c>
      <c r="AW25" s="16">
        <f t="shared" ref="AW25:AW30" si="10">AV25*F25</f>
        <v>24321200.949419994</v>
      </c>
      <c r="AX25" s="119">
        <f>251819.68*100000</f>
        <v>25181968000</v>
      </c>
      <c r="AY25" s="17">
        <f t="shared" ref="AY25:AY30" si="11">AX25*F25</f>
        <v>386602514.85283679</v>
      </c>
      <c r="AZ25" s="119">
        <f>(251819.68*100000+224957.67*100000)/2</f>
        <v>23838867500</v>
      </c>
      <c r="BA25" s="119">
        <f>(1217.12+1673.24+16779.29+23011.27+664.53)*100000</f>
        <v>4334545000</v>
      </c>
      <c r="BB25" s="119">
        <f>44337*100000</f>
        <v>4433700000</v>
      </c>
      <c r="BC25" t="s">
        <v>139</v>
      </c>
    </row>
    <row r="26" spans="1:55" x14ac:dyDescent="0.25">
      <c r="A26" s="8" t="s">
        <v>132</v>
      </c>
      <c r="B26" s="8" t="s">
        <v>133</v>
      </c>
      <c r="C26" s="9" t="s">
        <v>140</v>
      </c>
      <c r="D26" s="57" t="s">
        <v>135</v>
      </c>
      <c r="E26" s="57" t="s">
        <v>136</v>
      </c>
      <c r="F26" s="57">
        <v>1.5352355099999999E-2</v>
      </c>
      <c r="G26" s="58">
        <v>18200000</v>
      </c>
      <c r="H26" s="58">
        <v>3700000</v>
      </c>
      <c r="I26" s="59">
        <v>149581</v>
      </c>
      <c r="J26" s="58">
        <f>1246.69*10000000</f>
        <v>12466900000</v>
      </c>
      <c r="K26" s="60">
        <f t="shared" si="4"/>
        <v>191396275.79618999</v>
      </c>
      <c r="L26" s="59">
        <f>805.55*10000000</f>
        <v>8055500000</v>
      </c>
      <c r="M26" s="60">
        <f t="shared" si="7"/>
        <v>123670896.50804999</v>
      </c>
      <c r="N26" s="59"/>
      <c r="O26" s="61"/>
      <c r="P26" s="59"/>
      <c r="Q26" s="61">
        <f t="shared" si="0"/>
        <v>0</v>
      </c>
      <c r="R26" s="59">
        <f>J26-L26</f>
        <v>4411400000</v>
      </c>
      <c r="S26" s="60">
        <f t="shared" si="5"/>
        <v>67725379.288139999</v>
      </c>
      <c r="T26" s="59"/>
      <c r="U26" s="59">
        <f>33.7*10000000</f>
        <v>337000000</v>
      </c>
      <c r="V26" s="62">
        <f>U26*F26</f>
        <v>5173743.6686999993</v>
      </c>
      <c r="W26" s="59">
        <f>32.07*10000000</f>
        <v>320700000</v>
      </c>
      <c r="X26" s="59">
        <f>U26+W26</f>
        <v>657700000</v>
      </c>
      <c r="Y26" s="61">
        <f>X26*F26</f>
        <v>10097243.949269999</v>
      </c>
      <c r="Z26" s="59">
        <f>32.96*10000000</f>
        <v>329600000</v>
      </c>
      <c r="AA26" s="61">
        <f>Z26*F26</f>
        <v>5060136.2409600001</v>
      </c>
      <c r="AB26" s="59">
        <f>X26+Z26</f>
        <v>987300000</v>
      </c>
      <c r="AC26" s="61">
        <f>AB26*F26</f>
        <v>15157380.190229999</v>
      </c>
      <c r="AD26" s="59">
        <f>40.41*10000000</f>
        <v>404099999.99999994</v>
      </c>
      <c r="AE26" s="61">
        <f>AD26*F26</f>
        <v>6203886.6959099993</v>
      </c>
      <c r="AF26" s="59">
        <f>49.21*10000000</f>
        <v>492100000</v>
      </c>
      <c r="AG26" s="60">
        <f>AF26*F26</f>
        <v>7554893.9447099995</v>
      </c>
      <c r="AH26" s="58">
        <f>(242.81+72.41)*10000000+AS26</f>
        <v>5136100000</v>
      </c>
      <c r="AI26" s="58"/>
      <c r="AJ26" s="63"/>
      <c r="AK26" s="60"/>
      <c r="AL26" s="63">
        <f>(6.19+18.19+14.34+4.02)*10000000</f>
        <v>427399999.99999994</v>
      </c>
      <c r="AM26" s="60">
        <f>AL26*F26</f>
        <v>6561596.5697399992</v>
      </c>
      <c r="AN26" s="58">
        <f>72.41*10000000</f>
        <v>724100000</v>
      </c>
      <c r="AO26" s="60">
        <f t="shared" si="8"/>
        <v>11116640.32791</v>
      </c>
      <c r="AP26" s="59"/>
      <c r="AQ26" s="59">
        <f>AS26+AT26</f>
        <v>9314700000</v>
      </c>
      <c r="AR26" s="61">
        <f t="shared" si="6"/>
        <v>143002582.04997</v>
      </c>
      <c r="AS26" s="59">
        <f>198.39*10000000</f>
        <v>1983899999.9999998</v>
      </c>
      <c r="AT26" s="58">
        <f>J26-AH26</f>
        <v>7330800000</v>
      </c>
      <c r="AU26" s="61">
        <f t="shared" si="9"/>
        <v>112545044.76707999</v>
      </c>
      <c r="AV26" s="64">
        <f>6027*1000000</f>
        <v>6027000000</v>
      </c>
      <c r="AW26" s="65">
        <f t="shared" si="10"/>
        <v>92528644.187700003</v>
      </c>
      <c r="AX26" s="123">
        <f>4509.7*10000000</f>
        <v>45097000000</v>
      </c>
      <c r="AY26" s="66">
        <f t="shared" si="11"/>
        <v>692345157.9447</v>
      </c>
      <c r="AZ26" s="123">
        <f>(4509.7*10000000+3393.7*10000000)/2</f>
        <v>39517000000</v>
      </c>
      <c r="BA26" s="123">
        <f>390.13*10000000</f>
        <v>3901300000</v>
      </c>
      <c r="BB26" s="123">
        <f>890.87*10000000</f>
        <v>8908700000</v>
      </c>
      <c r="BC26"/>
    </row>
    <row r="27" spans="1:55" x14ac:dyDescent="0.25">
      <c r="A27" s="8" t="s">
        <v>132</v>
      </c>
      <c r="B27" s="8" t="s">
        <v>133</v>
      </c>
      <c r="C27" s="9" t="s">
        <v>141</v>
      </c>
      <c r="D27" s="47" t="s">
        <v>135</v>
      </c>
      <c r="E27" s="47" t="s">
        <v>136</v>
      </c>
      <c r="F27" s="47">
        <v>1.54180824E-2</v>
      </c>
      <c r="G27" s="48">
        <v>308753400</v>
      </c>
      <c r="H27" s="48"/>
      <c r="I27" s="50">
        <v>2324551</v>
      </c>
      <c r="J27" s="48">
        <f>(12542)*10000000</f>
        <v>125420000000</v>
      </c>
      <c r="K27" s="49">
        <f t="shared" si="4"/>
        <v>1933735894.608</v>
      </c>
      <c r="L27" s="50">
        <f>(3495.24+4257.77)*10000000</f>
        <v>77530100000</v>
      </c>
      <c r="M27" s="49">
        <f t="shared" si="7"/>
        <v>1195365470.2802401</v>
      </c>
      <c r="N27" s="50"/>
      <c r="O27" s="51"/>
      <c r="P27" s="50"/>
      <c r="Q27" s="51">
        <f t="shared" si="0"/>
        <v>0</v>
      </c>
      <c r="R27" s="48">
        <f>J27-L27</f>
        <v>47889900000</v>
      </c>
      <c r="S27" s="49">
        <f t="shared" si="5"/>
        <v>738370424.32775998</v>
      </c>
      <c r="T27" s="50" t="s">
        <v>0</v>
      </c>
      <c r="U27" s="50"/>
      <c r="V27" s="50"/>
      <c r="W27" s="50"/>
      <c r="X27" s="50"/>
      <c r="Y27" s="50"/>
      <c r="Z27" s="50"/>
      <c r="AA27" s="50"/>
      <c r="AB27" s="50"/>
      <c r="AC27" s="50"/>
      <c r="AD27" s="50"/>
      <c r="AE27" s="50"/>
      <c r="AF27" s="50"/>
      <c r="AG27" s="50"/>
      <c r="AH27" s="48">
        <f>(3647.33+1597.71+798.37+1011.01)*10000000+AS27</f>
        <v>85600200000</v>
      </c>
      <c r="AI27" s="48"/>
      <c r="AJ27" s="52">
        <f>420.15*10000000</f>
        <v>4201500000</v>
      </c>
      <c r="AK27" s="49">
        <f>AJ27*F27</f>
        <v>64779073.203599997</v>
      </c>
      <c r="AL27" s="52">
        <f>840.43*10000000</f>
        <v>8404299999.999999</v>
      </c>
      <c r="AM27" s="49">
        <f>AL27*F27</f>
        <v>129578189.91431998</v>
      </c>
      <c r="AN27" s="48">
        <f>3647.33*10000000</f>
        <v>36473300000</v>
      </c>
      <c r="AO27" s="49">
        <f t="shared" si="8"/>
        <v>562348344.79991996</v>
      </c>
      <c r="AP27" s="48">
        <v>17535</v>
      </c>
      <c r="AQ27" s="50">
        <f>AS27+AT27</f>
        <v>54875800000</v>
      </c>
      <c r="AR27" s="51">
        <f t="shared" si="6"/>
        <v>846079606.16592002</v>
      </c>
      <c r="AS27" s="48">
        <f>(1461.45+44.15)*10000000</f>
        <v>15056000000.000002</v>
      </c>
      <c r="AT27" s="56">
        <f>J27-AH27</f>
        <v>39819800000</v>
      </c>
      <c r="AU27" s="51">
        <f t="shared" si="9"/>
        <v>613944957.55151999</v>
      </c>
      <c r="AV27" s="56">
        <f>2801*10000000</f>
        <v>28010000000</v>
      </c>
      <c r="AW27" s="53">
        <f t="shared" si="10"/>
        <v>431860488.02399999</v>
      </c>
      <c r="AX27" s="137">
        <f>28621*10000000</f>
        <v>286210000000</v>
      </c>
      <c r="AY27" s="55">
        <f t="shared" si="11"/>
        <v>4412809363.7039995</v>
      </c>
      <c r="AZ27" s="120">
        <f>(AX27+26271*10000000)/2</f>
        <v>274460000000</v>
      </c>
      <c r="BA27" s="120">
        <f>5200.5*10000000</f>
        <v>52005000000</v>
      </c>
      <c r="BB27" s="120">
        <f>4072.69*10000000</f>
        <v>40726900000</v>
      </c>
      <c r="BC27"/>
    </row>
    <row r="28" spans="1:55" x14ac:dyDescent="0.25">
      <c r="A28" s="8" t="s">
        <v>132</v>
      </c>
      <c r="B28" s="8" t="s">
        <v>133</v>
      </c>
      <c r="C28" s="9" t="s">
        <v>142</v>
      </c>
      <c r="D28" s="47" t="s">
        <v>135</v>
      </c>
      <c r="E28" s="47" t="s">
        <v>136</v>
      </c>
      <c r="F28" s="47">
        <v>1.54180824E-2</v>
      </c>
      <c r="G28" s="48">
        <f>2097698/101.9%</f>
        <v>2058584.8871442587</v>
      </c>
      <c r="H28" s="48" t="s">
        <v>6</v>
      </c>
      <c r="I28" s="50">
        <f>17003/109.1%</f>
        <v>15584.784601283227</v>
      </c>
      <c r="J28" s="48">
        <f>923512000</f>
        <v>923512000</v>
      </c>
      <c r="K28" s="49">
        <f t="shared" si="4"/>
        <v>14238784.113388799</v>
      </c>
      <c r="L28" s="50">
        <f>J28-R28</f>
        <v>650150000</v>
      </c>
      <c r="M28" s="49">
        <f t="shared" si="7"/>
        <v>10024066.272360001</v>
      </c>
      <c r="N28" s="48">
        <v>17505000</v>
      </c>
      <c r="O28" s="51">
        <f>N28*F28</f>
        <v>269893.532412</v>
      </c>
      <c r="P28" s="50"/>
      <c r="Q28" s="51">
        <f t="shared" si="0"/>
        <v>0</v>
      </c>
      <c r="R28" s="50">
        <v>273362000</v>
      </c>
      <c r="S28" s="49">
        <f t="shared" si="5"/>
        <v>4214717.8410288002</v>
      </c>
      <c r="T28" s="50">
        <v>109419000</v>
      </c>
      <c r="U28" s="50"/>
      <c r="V28" s="50"/>
      <c r="W28" s="50"/>
      <c r="X28" s="50"/>
      <c r="Y28" s="50"/>
      <c r="Z28" s="50"/>
      <c r="AA28" s="50"/>
      <c r="AB28" s="50"/>
      <c r="AC28" s="50"/>
      <c r="AD28" s="50"/>
      <c r="AE28" s="50"/>
      <c r="AF28" s="50">
        <v>45138000</v>
      </c>
      <c r="AG28" s="49">
        <f>AF28*F28</f>
        <v>695941.40337119997</v>
      </c>
      <c r="AH28" s="48">
        <f>( 754681000-326442000-6857000)+AS28</f>
        <v>754681000</v>
      </c>
      <c r="AI28" s="48"/>
      <c r="AJ28" s="52">
        <v>53772000</v>
      </c>
      <c r="AK28" s="49">
        <f>AJ28*F28</f>
        <v>829061.12681279995</v>
      </c>
      <c r="AL28" s="50">
        <f>(14424+24685+6127+170)*1000</f>
        <v>45406000</v>
      </c>
      <c r="AM28" s="49">
        <f>AL28*F28</f>
        <v>700073.44945439999</v>
      </c>
      <c r="AN28" s="50">
        <v>52173000</v>
      </c>
      <c r="AO28" s="49">
        <f t="shared" si="8"/>
        <v>804407.61305519997</v>
      </c>
      <c r="AP28" s="50"/>
      <c r="AQ28" s="50">
        <f>AS28+AT28</f>
        <v>502130000</v>
      </c>
      <c r="AR28" s="51">
        <f t="shared" si="6"/>
        <v>7741881.715512</v>
      </c>
      <c r="AS28" s="48">
        <f>326442000+6857000</f>
        <v>333299000</v>
      </c>
      <c r="AT28" s="67">
        <f>J28-AH28</f>
        <v>168831000</v>
      </c>
      <c r="AU28" s="51">
        <f t="shared" si="9"/>
        <v>2603050.2696743999</v>
      </c>
      <c r="AV28" s="50">
        <v>140648000</v>
      </c>
      <c r="AW28" s="53">
        <f t="shared" si="10"/>
        <v>2168522.4533952</v>
      </c>
      <c r="AX28" s="120">
        <v>9774670000</v>
      </c>
      <c r="AY28" s="55">
        <f t="shared" si="11"/>
        <v>150706667.49280798</v>
      </c>
      <c r="AZ28" s="120">
        <f>(AX28+9583717000)/2</f>
        <v>9679193500</v>
      </c>
      <c r="BA28" s="120">
        <f>(151741000+8636000)</f>
        <v>160377000</v>
      </c>
      <c r="BB28" s="120">
        <v>364146000</v>
      </c>
      <c r="BC28"/>
    </row>
    <row r="29" spans="1:55" ht="17.25" customHeight="1" x14ac:dyDescent="0.25">
      <c r="A29" s="8" t="s">
        <v>132</v>
      </c>
      <c r="B29" s="8" t="s">
        <v>133</v>
      </c>
      <c r="C29" s="9" t="s">
        <v>143</v>
      </c>
      <c r="D29" s="8" t="s">
        <v>135</v>
      </c>
      <c r="E29" s="8" t="s">
        <v>136</v>
      </c>
      <c r="F29" s="8">
        <v>1.5352355099999999E-2</v>
      </c>
      <c r="G29" s="10">
        <v>65690000</v>
      </c>
      <c r="H29" s="10">
        <v>17400000</v>
      </c>
      <c r="I29" s="12">
        <f>4.5*100000</f>
        <v>450000</v>
      </c>
      <c r="J29" s="10">
        <f>4042.84*10000000</f>
        <v>40428400000</v>
      </c>
      <c r="K29" s="11">
        <f t="shared" si="4"/>
        <v>620671152.92483997</v>
      </c>
      <c r="L29" s="12">
        <f>1705*10000000</f>
        <v>17050000000</v>
      </c>
      <c r="M29" s="11">
        <f t="shared" si="7"/>
        <v>261757654.45499998</v>
      </c>
      <c r="N29" s="12"/>
      <c r="O29" s="13"/>
      <c r="P29" s="12"/>
      <c r="Q29" s="13">
        <f t="shared" si="0"/>
        <v>0</v>
      </c>
      <c r="R29" s="12">
        <f>1799*10000000</f>
        <v>17990000000</v>
      </c>
      <c r="S29" s="11">
        <f t="shared" si="5"/>
        <v>276188868.24900001</v>
      </c>
      <c r="T29" s="12"/>
      <c r="U29" s="12">
        <f>22%*R29</f>
        <v>3957800000</v>
      </c>
      <c r="V29" s="20">
        <f>U29*F29</f>
        <v>60761551.01478</v>
      </c>
      <c r="W29" s="10">
        <f>7%*R29</f>
        <v>1259300000.0000002</v>
      </c>
      <c r="X29" s="12">
        <f>U29+W29</f>
        <v>5217100000</v>
      </c>
      <c r="Y29" s="13">
        <f>X29*F29</f>
        <v>80094771.792209998</v>
      </c>
      <c r="Z29" s="12">
        <f>7%*R29</f>
        <v>1259300000.0000002</v>
      </c>
      <c r="AA29" s="13">
        <f>Z29*F29</f>
        <v>19333220.777430002</v>
      </c>
      <c r="AB29" s="12">
        <f>X29+Z29</f>
        <v>6476400000</v>
      </c>
      <c r="AC29" s="13">
        <f>AB29*F29</f>
        <v>99427992.569639996</v>
      </c>
      <c r="AD29" s="12">
        <f>10%*R29</f>
        <v>1799000000</v>
      </c>
      <c r="AE29" s="13">
        <f>AD29*F29</f>
        <v>27618886.824899998</v>
      </c>
      <c r="AF29" s="12"/>
      <c r="AG29" s="12"/>
      <c r="AH29" s="12">
        <f>(1096.62+1761)*10000000+AS29</f>
        <v>35035200000</v>
      </c>
      <c r="AI29" s="12"/>
      <c r="AJ29" s="14"/>
      <c r="AK29" s="11"/>
      <c r="AL29" s="14"/>
      <c r="AM29" s="11"/>
      <c r="AN29" s="12">
        <f>165.24*10000000</f>
        <v>1652400000</v>
      </c>
      <c r="AO29" s="11">
        <f t="shared" si="8"/>
        <v>25368231.56724</v>
      </c>
      <c r="AP29" s="12">
        <v>1528</v>
      </c>
      <c r="AQ29" s="12">
        <f>1184.45*10000000</f>
        <v>11844500000</v>
      </c>
      <c r="AR29" s="13">
        <f t="shared" si="6"/>
        <v>181840969.98194999</v>
      </c>
      <c r="AS29" s="12">
        <f>645.9*10000000</f>
        <v>6459000000</v>
      </c>
      <c r="AT29" s="15">
        <f>AQ29-AS29</f>
        <v>5385500000</v>
      </c>
      <c r="AU29" s="13">
        <f t="shared" si="9"/>
        <v>82680108.391049996</v>
      </c>
      <c r="AV29" s="15">
        <f>38.25*10000000</f>
        <v>382500000</v>
      </c>
      <c r="AW29" s="16">
        <f t="shared" si="10"/>
        <v>5872275.8257499998</v>
      </c>
      <c r="AX29" s="119">
        <f>11492.41*10000000</f>
        <v>114924100000</v>
      </c>
      <c r="AY29" s="17">
        <f t="shared" si="11"/>
        <v>1764355592.74791</v>
      </c>
      <c r="AZ29" s="119"/>
      <c r="BA29" s="119"/>
      <c r="BB29" s="119"/>
      <c r="BC29" t="s">
        <v>144</v>
      </c>
    </row>
    <row r="30" spans="1:55" x14ac:dyDescent="0.25">
      <c r="A30" s="8" t="s">
        <v>132</v>
      </c>
      <c r="B30" s="8" t="s">
        <v>133</v>
      </c>
      <c r="C30" s="9" t="s">
        <v>145</v>
      </c>
      <c r="D30" s="8" t="s">
        <v>91</v>
      </c>
      <c r="E30" s="8" t="s">
        <v>136</v>
      </c>
      <c r="F30" s="8">
        <v>1.54180824E-2</v>
      </c>
      <c r="G30" s="10">
        <v>22881410</v>
      </c>
      <c r="H30" s="10"/>
      <c r="I30" s="10">
        <v>178117</v>
      </c>
      <c r="J30" s="12">
        <f>1314.35*10000000</f>
        <v>13143500000</v>
      </c>
      <c r="K30" s="11">
        <f t="shared" si="4"/>
        <v>202647566.0244</v>
      </c>
      <c r="L30" s="12">
        <f>811.59*10000000</f>
        <v>8115900000</v>
      </c>
      <c r="M30" s="11">
        <f t="shared" si="7"/>
        <v>125131614.95016</v>
      </c>
      <c r="N30" s="12">
        <f>495.86*10000000</f>
        <v>4958600000</v>
      </c>
      <c r="O30" s="13">
        <f>N30*F30</f>
        <v>76452103.388640001</v>
      </c>
      <c r="P30" s="12">
        <f>(303.44+2.62)*10000000</f>
        <v>3060600000</v>
      </c>
      <c r="Q30" s="13">
        <f t="shared" si="0"/>
        <v>47188582.993440002</v>
      </c>
      <c r="R30" s="12">
        <f>502.76*10000000</f>
        <v>5027600000</v>
      </c>
      <c r="S30" s="11">
        <f t="shared" si="5"/>
        <v>77515951.074239999</v>
      </c>
      <c r="T30" s="12">
        <f>388.02*(10000000)</f>
        <v>3880200000</v>
      </c>
      <c r="U30" s="12"/>
      <c r="V30" s="12"/>
      <c r="W30" s="12"/>
      <c r="X30" s="12">
        <f>105.32*10000000</f>
        <v>1053199999.9999999</v>
      </c>
      <c r="Y30" s="13">
        <f>X30*F30</f>
        <v>16238324.383679997</v>
      </c>
      <c r="Z30" s="12">
        <f>31.88*10000000</f>
        <v>318800000</v>
      </c>
      <c r="AA30" s="13">
        <f>Z30*F30</f>
        <v>4915284.6691199997</v>
      </c>
      <c r="AB30" s="12">
        <f>X30+Z30</f>
        <v>1372000000</v>
      </c>
      <c r="AC30" s="13">
        <f>AB30*F30</f>
        <v>21153609.0528</v>
      </c>
      <c r="AD30" s="12">
        <f>71.77*10000000</f>
        <v>717700000</v>
      </c>
      <c r="AE30" s="13">
        <f>AD30*F30</f>
        <v>11065557.73848</v>
      </c>
      <c r="AF30" s="12">
        <f>24.91*10000000</f>
        <v>249100000</v>
      </c>
      <c r="AG30" s="11">
        <f>AF30*F30</f>
        <v>3840644.3258400001</v>
      </c>
      <c r="AH30" s="12">
        <f>(117.79+265.02)*10000000+AS30</f>
        <v>5981400000</v>
      </c>
      <c r="AI30" s="12"/>
      <c r="AJ30" s="14"/>
      <c r="AK30" s="11"/>
      <c r="AL30" s="14"/>
      <c r="AM30" s="11"/>
      <c r="AN30" s="12">
        <f>171.79*10000000</f>
        <v>1717900000</v>
      </c>
      <c r="AO30" s="11">
        <f t="shared" si="8"/>
        <v>26486723.754960001</v>
      </c>
      <c r="AP30" s="12"/>
      <c r="AQ30" s="12">
        <f>AS30+AT30</f>
        <v>9315400000</v>
      </c>
      <c r="AR30" s="13">
        <f t="shared" si="6"/>
        <v>143625604.78896001</v>
      </c>
      <c r="AS30" s="12">
        <f>((215.33)*10000000)</f>
        <v>2153300000</v>
      </c>
      <c r="AT30" s="12">
        <f>J30-AH30</f>
        <v>7162100000</v>
      </c>
      <c r="AU30" s="13">
        <f t="shared" si="9"/>
        <v>110425847.95704</v>
      </c>
      <c r="AV30" s="15">
        <f>565.38*10000000</f>
        <v>5653800000</v>
      </c>
      <c r="AW30" s="16">
        <f t="shared" si="10"/>
        <v>87170754.273120001</v>
      </c>
      <c r="AX30" s="119">
        <f>4626.77*10000000</f>
        <v>46267700000.000008</v>
      </c>
      <c r="AY30" s="17">
        <f t="shared" si="11"/>
        <v>713359211.05848014</v>
      </c>
      <c r="AZ30" s="119"/>
      <c r="BA30" s="119"/>
      <c r="BB30" s="119">
        <f>948.85*10000000</f>
        <v>9488500000</v>
      </c>
      <c r="BC30"/>
    </row>
    <row r="31" spans="1:55" x14ac:dyDescent="0.25">
      <c r="A31" s="8" t="s">
        <v>132</v>
      </c>
      <c r="B31" s="8" t="s">
        <v>146</v>
      </c>
      <c r="C31" s="18" t="s">
        <v>147</v>
      </c>
      <c r="D31" s="8" t="s">
        <v>148</v>
      </c>
      <c r="E31" s="8" t="s">
        <v>149</v>
      </c>
      <c r="F31" s="8">
        <v>9.7471189000000007E-3</v>
      </c>
      <c r="G31" s="10">
        <v>3150000</v>
      </c>
      <c r="H31" s="10"/>
      <c r="I31" s="12" t="s">
        <v>68</v>
      </c>
      <c r="J31" s="10">
        <f>6628.12*1000000</f>
        <v>6628120000</v>
      </c>
      <c r="K31" s="11">
        <f t="shared" si="4"/>
        <v>64605073.723468006</v>
      </c>
      <c r="M31" s="11"/>
      <c r="N31" s="12"/>
      <c r="O31" s="13"/>
      <c r="P31" s="12"/>
      <c r="Q31" s="13">
        <f t="shared" si="0"/>
        <v>0</v>
      </c>
      <c r="R31" s="12"/>
      <c r="S31" s="11">
        <f t="shared" si="5"/>
        <v>0</v>
      </c>
      <c r="T31" s="12"/>
      <c r="U31" s="12"/>
      <c r="V31" s="12"/>
      <c r="W31" s="12"/>
      <c r="X31" s="12"/>
      <c r="Y31" s="12"/>
      <c r="Z31" s="12"/>
      <c r="AA31" s="12"/>
      <c r="AB31" s="12"/>
      <c r="AC31" s="13"/>
      <c r="AD31" s="12"/>
      <c r="AE31" s="12"/>
      <c r="AH31" s="12">
        <f>1005.72*10000000</f>
        <v>10057200000</v>
      </c>
      <c r="AI31" s="12"/>
      <c r="AJ31" s="14"/>
      <c r="AK31" s="11"/>
      <c r="AL31" s="14"/>
      <c r="AM31" s="11"/>
      <c r="AN31" s="12"/>
      <c r="AO31" s="12"/>
      <c r="AP31" s="12"/>
      <c r="AQ31" s="12"/>
      <c r="AR31" s="13"/>
      <c r="AS31" s="12"/>
      <c r="AT31" s="12">
        <f>J31-AH31</f>
        <v>-3429080000</v>
      </c>
      <c r="AU31" s="13">
        <f t="shared" si="9"/>
        <v>-33423650.477612004</v>
      </c>
      <c r="AV31" s="15"/>
      <c r="AW31" s="16"/>
      <c r="AX31" s="121"/>
      <c r="AY31" s="17"/>
      <c r="AZ31" s="119"/>
      <c r="BA31" s="119"/>
      <c r="BB31" s="119"/>
      <c r="BC31" t="s">
        <v>0</v>
      </c>
    </row>
    <row r="32" spans="1:55" x14ac:dyDescent="0.25">
      <c r="A32" s="8" t="s">
        <v>132</v>
      </c>
      <c r="B32" s="8" t="s">
        <v>150</v>
      </c>
      <c r="C32" s="9" t="s">
        <v>151</v>
      </c>
      <c r="D32" s="73" t="s">
        <v>527</v>
      </c>
      <c r="E32" s="73" t="s">
        <v>152</v>
      </c>
      <c r="F32" s="73">
        <v>6.5146609999999997E-3</v>
      </c>
      <c r="G32" s="74"/>
      <c r="H32" s="74"/>
      <c r="I32" s="75"/>
      <c r="J32" s="74"/>
      <c r="K32" s="76"/>
      <c r="L32" s="75"/>
      <c r="M32" s="76"/>
      <c r="N32" s="75"/>
      <c r="O32" s="77"/>
      <c r="P32" s="74"/>
      <c r="Q32" s="77"/>
      <c r="R32" s="75"/>
      <c r="S32" s="76"/>
      <c r="T32" s="74"/>
      <c r="U32" s="75"/>
      <c r="V32" s="84"/>
      <c r="W32" s="75"/>
      <c r="X32" s="75"/>
      <c r="Y32" s="75"/>
      <c r="Z32" s="75"/>
      <c r="AA32" s="75"/>
      <c r="AB32" s="75"/>
      <c r="AC32" s="77"/>
      <c r="AD32" s="75"/>
      <c r="AE32" s="75"/>
      <c r="AF32" s="74"/>
      <c r="AG32" s="76"/>
      <c r="AH32" s="74"/>
      <c r="AI32" s="74"/>
      <c r="AJ32" s="82"/>
      <c r="AK32" s="76"/>
      <c r="AL32" s="82"/>
      <c r="AM32" s="76"/>
      <c r="AN32" s="74"/>
      <c r="AO32" s="76"/>
      <c r="AP32" s="75"/>
      <c r="AQ32" s="75"/>
      <c r="AR32" s="77"/>
      <c r="AS32" s="75"/>
      <c r="AT32" s="75"/>
      <c r="AU32" s="77"/>
      <c r="AV32" s="78"/>
      <c r="AW32" s="79"/>
      <c r="AX32" s="124"/>
      <c r="AY32" s="80"/>
      <c r="AZ32" s="124"/>
      <c r="BA32" s="124"/>
      <c r="BB32" s="124"/>
      <c r="BC32"/>
    </row>
    <row r="33" spans="1:55" x14ac:dyDescent="0.25">
      <c r="A33" s="8" t="s">
        <v>153</v>
      </c>
      <c r="B33" s="8" t="s">
        <v>154</v>
      </c>
      <c r="C33" s="9" t="s">
        <v>155</v>
      </c>
      <c r="D33" s="47" t="s">
        <v>527</v>
      </c>
      <c r="E33" s="47" t="s">
        <v>156</v>
      </c>
      <c r="F33" s="68">
        <v>7.3681699999999996E-5</v>
      </c>
      <c r="G33" s="48">
        <v>96652313</v>
      </c>
      <c r="H33" s="48"/>
      <c r="I33" s="50">
        <v>828672</v>
      </c>
      <c r="J33" s="48">
        <f>R33+L33</f>
        <v>8521087310000</v>
      </c>
      <c r="K33" s="49">
        <f t="shared" si="4"/>
        <v>627848198.84922695</v>
      </c>
      <c r="L33" s="50">
        <f>5113648346000</f>
        <v>5113648346000</v>
      </c>
      <c r="M33" s="49">
        <f>F33*L33</f>
        <v>376782303.33546817</v>
      </c>
      <c r="N33" s="50">
        <v>3849746920000</v>
      </c>
      <c r="O33" s="51"/>
      <c r="P33" s="48">
        <v>720128251000</v>
      </c>
      <c r="Q33" s="51">
        <f t="shared" si="0"/>
        <v>53060273.751706697</v>
      </c>
      <c r="R33" s="50">
        <v>3407438964000</v>
      </c>
      <c r="S33" s="49">
        <f t="shared" si="5"/>
        <v>251065895.51375878</v>
      </c>
      <c r="T33" s="50">
        <v>1554211200000</v>
      </c>
      <c r="U33" s="50"/>
      <c r="V33" s="50"/>
      <c r="W33" s="50"/>
      <c r="X33" s="50"/>
      <c r="Y33" s="50"/>
      <c r="Z33" s="50"/>
      <c r="AA33" s="50"/>
      <c r="AB33" s="50"/>
      <c r="AC33" s="51"/>
      <c r="AD33" s="50">
        <v>23312833000</v>
      </c>
      <c r="AE33" s="50"/>
      <c r="AF33" s="50">
        <v>321706201000</v>
      </c>
      <c r="AG33" s="50"/>
      <c r="AH33" s="50">
        <v>5604292587000</v>
      </c>
      <c r="AI33" s="50"/>
      <c r="AJ33" s="52">
        <v>344727063000</v>
      </c>
      <c r="AK33" s="49">
        <f>AJ33*F33</f>
        <v>25400076.037847098</v>
      </c>
      <c r="AL33" s="52">
        <v>333522413000</v>
      </c>
      <c r="AM33" s="49">
        <f>AL33*F33</f>
        <v>24574498.3779421</v>
      </c>
      <c r="AN33" s="50">
        <v>1553875958000</v>
      </c>
      <c r="AO33" s="49">
        <f>AN33*F33</f>
        <v>114492222.17456859</v>
      </c>
      <c r="AP33" s="50">
        <v>3350</v>
      </c>
      <c r="AQ33" s="50">
        <f>AS33+AT33</f>
        <v>3939603803000</v>
      </c>
      <c r="AR33" s="51">
        <f>AQ33*F33</f>
        <v>290276705.53150511</v>
      </c>
      <c r="AS33" s="50">
        <v>1022809080000</v>
      </c>
      <c r="AT33" s="50">
        <f>2916794723000</f>
        <v>2916794723000</v>
      </c>
      <c r="AU33" s="51">
        <f>AT33*F33</f>
        <v>214914393.74166909</v>
      </c>
      <c r="AV33" s="56">
        <v>1934254000000</v>
      </c>
      <c r="AW33" s="53">
        <f>AV33*F33</f>
        <v>142519122.95179999</v>
      </c>
      <c r="AX33" s="120">
        <f>31608915621000</f>
        <v>31608915621000</v>
      </c>
      <c r="AY33" s="55">
        <f>AX33*F33</f>
        <v>2328998638.1118355</v>
      </c>
      <c r="AZ33" s="120">
        <f>(31608916+24732641)/2*1000000</f>
        <v>28170778500000</v>
      </c>
      <c r="BA33" s="120">
        <f>7614989*1000000</f>
        <v>7614989000000</v>
      </c>
      <c r="BB33" s="120">
        <v>3028461000000</v>
      </c>
      <c r="BC33"/>
    </row>
    <row r="34" spans="1:55" x14ac:dyDescent="0.25">
      <c r="A34" s="8" t="s">
        <v>153</v>
      </c>
      <c r="B34" s="8" t="s">
        <v>154</v>
      </c>
      <c r="C34" s="9" t="s">
        <v>157</v>
      </c>
      <c r="D34" s="47" t="s">
        <v>527</v>
      </c>
      <c r="E34" s="47" t="s">
        <v>156</v>
      </c>
      <c r="F34" s="68">
        <v>7.3681699999999996E-5</v>
      </c>
      <c r="G34" s="48">
        <v>111454000</v>
      </c>
      <c r="H34" s="48"/>
      <c r="I34" s="50">
        <v>856888</v>
      </c>
      <c r="J34" s="48">
        <f>L34+R34</f>
        <v>9486850000000</v>
      </c>
      <c r="K34" s="49">
        <f t="shared" si="4"/>
        <v>699007235.64499998</v>
      </c>
      <c r="L34" s="50">
        <v>6009880000000</v>
      </c>
      <c r="M34" s="49">
        <f>F34*L34</f>
        <v>442818175.19599998</v>
      </c>
      <c r="N34" s="50">
        <v>4249140000000</v>
      </c>
      <c r="O34" s="51">
        <f>N34*F34</f>
        <v>313083858.73799998</v>
      </c>
      <c r="P34" s="50">
        <v>1113400000000</v>
      </c>
      <c r="Q34" s="51">
        <f t="shared" si="0"/>
        <v>82037204.780000001</v>
      </c>
      <c r="R34" s="50">
        <v>3476970000000</v>
      </c>
      <c r="S34" s="49">
        <f t="shared" si="5"/>
        <v>256189060.449</v>
      </c>
      <c r="T34" s="50">
        <v>1534920000000</v>
      </c>
      <c r="U34" s="50"/>
      <c r="V34" s="50"/>
      <c r="W34" s="50"/>
      <c r="X34" s="50"/>
      <c r="Y34" s="50"/>
      <c r="Z34" s="50"/>
      <c r="AA34" s="50"/>
      <c r="AB34" s="50"/>
      <c r="AC34" s="51"/>
      <c r="AD34" s="69">
        <v>254090000000</v>
      </c>
      <c r="AE34" s="51">
        <f>AD34*F34</f>
        <v>18721783.153000001</v>
      </c>
      <c r="AF34" s="50">
        <v>243850000000</v>
      </c>
      <c r="AG34" s="49">
        <f>AF34*F34</f>
        <v>17967282.544999998</v>
      </c>
      <c r="AH34" s="50">
        <f>5190820000000-825993230349+AS34</f>
        <v>4364826769651</v>
      </c>
      <c r="AI34" s="50"/>
      <c r="AJ34" s="52"/>
      <c r="AK34" s="49"/>
      <c r="AL34" s="52">
        <v>522508748947</v>
      </c>
      <c r="AM34" s="49">
        <f>AL34*F34</f>
        <v>38499332.887288168</v>
      </c>
      <c r="AN34" s="50">
        <f>1706960000000</f>
        <v>1706960000000</v>
      </c>
      <c r="AO34" s="49">
        <f>AN34*F34</f>
        <v>125771714.632</v>
      </c>
      <c r="AP34" s="50">
        <v>5400</v>
      </c>
      <c r="AQ34" s="50"/>
      <c r="AR34" s="51"/>
      <c r="AS34" s="50"/>
      <c r="AT34" s="50">
        <f xml:space="preserve"> 3003740000000</f>
        <v>3003740000000</v>
      </c>
      <c r="AU34" s="51">
        <f>AT34*F34</f>
        <v>221320669.558</v>
      </c>
      <c r="AV34" s="56">
        <v>1880800000000</v>
      </c>
      <c r="AW34" s="53">
        <f>AV34*F34</f>
        <v>138580541.35999998</v>
      </c>
      <c r="AX34" s="120">
        <v>38520810000000</v>
      </c>
      <c r="AY34" s="55">
        <f>AX34*F34</f>
        <v>2838278766.177</v>
      </c>
      <c r="AZ34" s="120">
        <f>(32651.9*1000000000+AX34)/2</f>
        <v>35586355000000</v>
      </c>
      <c r="BA34" s="120">
        <f xml:space="preserve"> 4796.88*1000000000</f>
        <v>4796880000000</v>
      </c>
      <c r="BB34" s="120">
        <v>3154940000000</v>
      </c>
      <c r="BC34"/>
    </row>
    <row r="35" spans="1:55" x14ac:dyDescent="0.25">
      <c r="A35" s="8" t="s">
        <v>153</v>
      </c>
      <c r="B35" s="8" t="s">
        <v>154</v>
      </c>
      <c r="C35" s="18" t="s">
        <v>158</v>
      </c>
      <c r="D35" s="8" t="s">
        <v>66</v>
      </c>
      <c r="E35" s="8" t="s">
        <v>156</v>
      </c>
      <c r="F35" s="22">
        <v>7.4076800000000002E-5</v>
      </c>
      <c r="G35" s="10">
        <v>6100000</v>
      </c>
      <c r="H35" s="10"/>
      <c r="I35" s="12">
        <f>62896/116.5%</f>
        <v>53987.982832618021</v>
      </c>
      <c r="J35" s="10">
        <v>180000000000</v>
      </c>
      <c r="K35" s="11">
        <f t="shared" si="4"/>
        <v>13333824</v>
      </c>
      <c r="M35" s="11"/>
      <c r="N35" s="12"/>
      <c r="O35" s="13"/>
      <c r="P35" s="12"/>
      <c r="Q35" s="13">
        <f t="shared" si="0"/>
        <v>0</v>
      </c>
      <c r="R35" s="12"/>
      <c r="S35" s="11">
        <f t="shared" si="5"/>
        <v>0</v>
      </c>
      <c r="T35" s="12"/>
      <c r="U35" s="12"/>
      <c r="V35" s="12"/>
      <c r="W35" s="12"/>
      <c r="X35" s="12"/>
      <c r="Y35" s="12"/>
      <c r="Z35" s="12"/>
      <c r="AA35" s="12"/>
      <c r="AB35" s="12"/>
      <c r="AC35" s="13"/>
      <c r="AD35" s="12"/>
      <c r="AE35" s="12"/>
      <c r="AF35" s="12"/>
      <c r="AG35" s="12"/>
      <c r="AH35" s="12"/>
      <c r="AI35" s="12"/>
      <c r="AJ35" s="15"/>
      <c r="AK35" s="12"/>
      <c r="AL35" s="15"/>
      <c r="AM35" s="12"/>
      <c r="AN35" s="12"/>
      <c r="AO35" s="12"/>
      <c r="AP35" s="12"/>
      <c r="AQ35" s="12"/>
      <c r="AR35" s="13"/>
      <c r="AS35" s="12"/>
      <c r="AT35" s="12"/>
      <c r="AU35" s="12"/>
      <c r="AV35" s="15"/>
      <c r="AW35" s="16"/>
      <c r="AX35" s="121" t="s">
        <v>0</v>
      </c>
      <c r="AY35" s="17"/>
      <c r="AZ35" s="119"/>
      <c r="BA35" s="119"/>
      <c r="BB35" s="119"/>
      <c r="BC35"/>
    </row>
    <row r="36" spans="1:55" x14ac:dyDescent="0.25">
      <c r="A36" s="8" t="s">
        <v>153</v>
      </c>
      <c r="B36" s="8" t="s">
        <v>159</v>
      </c>
      <c r="C36" s="9" t="s">
        <v>160</v>
      </c>
      <c r="D36" s="47" t="s">
        <v>528</v>
      </c>
      <c r="E36" s="47" t="s">
        <v>161</v>
      </c>
      <c r="F36" s="47">
        <v>3.0006501099999999E-2</v>
      </c>
      <c r="G36" s="48">
        <v>139518488</v>
      </c>
      <c r="H36" s="48"/>
      <c r="I36" s="50">
        <v>874999</v>
      </c>
      <c r="J36" s="48">
        <v>60537410000</v>
      </c>
      <c r="K36" s="49">
        <f t="shared" si="4"/>
        <v>1816515859.756151</v>
      </c>
      <c r="L36" s="48">
        <v>33986260000</v>
      </c>
      <c r="M36" s="49">
        <f>F36*L36</f>
        <v>1019808748.074886</v>
      </c>
      <c r="N36" s="48">
        <v>25850000000</v>
      </c>
      <c r="O36" s="51">
        <f>N36*F36</f>
        <v>775668053.43499994</v>
      </c>
      <c r="P36" s="48">
        <v>7303660000</v>
      </c>
      <c r="Q36" s="51">
        <f t="shared" si="0"/>
        <v>219157281.82402599</v>
      </c>
      <c r="R36" s="50">
        <v>24075750000</v>
      </c>
      <c r="S36" s="49">
        <f t="shared" si="5"/>
        <v>722429018.858325</v>
      </c>
      <c r="T36" s="50">
        <v>16710430000</v>
      </c>
      <c r="U36" s="50"/>
      <c r="V36" s="50"/>
      <c r="W36" s="50"/>
      <c r="X36" s="50"/>
      <c r="Y36" s="50"/>
      <c r="Z36" s="50"/>
      <c r="AA36" s="50"/>
      <c r="AB36" s="50"/>
      <c r="AC36" s="51"/>
      <c r="AD36" s="50"/>
      <c r="AE36" s="50"/>
      <c r="AF36" s="50"/>
      <c r="AG36" s="50"/>
      <c r="AH36" s="50">
        <f>31008560000</f>
        <v>31008560000</v>
      </c>
      <c r="AI36" s="50"/>
      <c r="AJ36" s="52">
        <f>2603.19*1000000</f>
        <v>2603190000</v>
      </c>
      <c r="AK36" s="49">
        <f>AJ36*F36</f>
        <v>78112623.598508999</v>
      </c>
      <c r="AL36" s="52">
        <f>2486.74*1000000</f>
        <v>2486740000</v>
      </c>
      <c r="AM36" s="49">
        <f>AL36*F36</f>
        <v>74618366.545414001</v>
      </c>
      <c r="AN36" s="48">
        <v>7001730000</v>
      </c>
      <c r="AO36" s="49">
        <f>AN36*F36</f>
        <v>210097418.94690299</v>
      </c>
      <c r="AP36" s="50">
        <v>7718</v>
      </c>
      <c r="AQ36" s="50">
        <f>36352.22*1000000</f>
        <v>36352220000</v>
      </c>
      <c r="AR36" s="51">
        <f>AQ36*F36</f>
        <v>1090802929.4174421</v>
      </c>
      <c r="AS36" s="50">
        <f>5641.67*1000000</f>
        <v>5641670000</v>
      </c>
      <c r="AT36" s="50">
        <f>31127.37*1000000</f>
        <v>31127370000</v>
      </c>
      <c r="AU36" s="51">
        <f>AT36*F36</f>
        <v>934023462.14510703</v>
      </c>
      <c r="AV36" s="56">
        <f>25224.66*1000000</f>
        <v>25224660000</v>
      </c>
      <c r="AW36" s="53">
        <f>AV36*F36</f>
        <v>756903788.03712595</v>
      </c>
      <c r="AX36" s="120">
        <f>187708.55*1000000</f>
        <v>187708550000</v>
      </c>
      <c r="AY36" s="55">
        <f>AX36*F36</f>
        <v>5632476812.0544052</v>
      </c>
      <c r="AZ36" s="120">
        <f>(178409.93*1000000+AX36)/2</f>
        <v>183059240000</v>
      </c>
      <c r="BA36" s="120">
        <f>23202.73*1000000</f>
        <v>23202730000</v>
      </c>
      <c r="BB36" s="120">
        <f>33818.12*1000000</f>
        <v>33818120000.000004</v>
      </c>
      <c r="BC36" s="21"/>
    </row>
    <row r="37" spans="1:55" x14ac:dyDescent="0.25">
      <c r="A37" s="8" t="s">
        <v>153</v>
      </c>
      <c r="B37" s="8" t="s">
        <v>159</v>
      </c>
      <c r="C37" s="18" t="s">
        <v>163</v>
      </c>
      <c r="D37" s="47" t="s">
        <v>527</v>
      </c>
      <c r="E37" s="47" t="s">
        <v>161</v>
      </c>
      <c r="F37" s="47">
        <v>3.0619738099999998E-2</v>
      </c>
      <c r="G37" s="48">
        <f>(2600+96+84)*1000</f>
        <v>2780000</v>
      </c>
      <c r="H37" s="48"/>
      <c r="I37" s="50" t="s">
        <v>68</v>
      </c>
      <c r="J37" s="48">
        <f>4082.3*1000000+N37</f>
        <v>4680400000</v>
      </c>
      <c r="K37" s="49"/>
      <c r="L37" s="48"/>
      <c r="M37" s="49"/>
      <c r="N37" s="48">
        <v>598100000</v>
      </c>
      <c r="O37" s="51">
        <v>18313665.357609998</v>
      </c>
      <c r="P37" s="48"/>
      <c r="Q37" s="51">
        <f t="shared" si="0"/>
        <v>0</v>
      </c>
      <c r="R37" s="50"/>
      <c r="S37" s="49">
        <f t="shared" si="5"/>
        <v>0</v>
      </c>
      <c r="T37" s="50" t="s">
        <v>6</v>
      </c>
      <c r="U37" s="50"/>
      <c r="V37" s="50"/>
      <c r="W37" s="50"/>
      <c r="X37" s="50"/>
      <c r="Y37" s="50"/>
      <c r="Z37" s="50"/>
      <c r="AA37" s="50"/>
      <c r="AB37" s="50"/>
      <c r="AC37" s="50"/>
      <c r="AD37" s="50"/>
      <c r="AE37" s="50"/>
      <c r="AF37" s="50"/>
      <c r="AG37" s="50"/>
      <c r="AH37" s="50">
        <v>5442282964.2200003</v>
      </c>
      <c r="AI37" s="50"/>
      <c r="AJ37" s="56"/>
      <c r="AK37" s="50"/>
      <c r="AL37" s="56"/>
      <c r="AM37" s="50"/>
      <c r="AN37" s="48"/>
      <c r="AO37" s="48"/>
      <c r="AP37" s="50"/>
      <c r="AQ37" s="50"/>
      <c r="AR37" s="51"/>
      <c r="AS37" s="50"/>
      <c r="AT37" s="50"/>
      <c r="AU37" s="50"/>
      <c r="AV37" s="56"/>
      <c r="AW37" s="53"/>
      <c r="AX37" s="122"/>
      <c r="AY37" s="55"/>
      <c r="AZ37" s="120"/>
      <c r="BA37" s="120"/>
      <c r="BB37" s="120"/>
      <c r="BC37" s="21"/>
    </row>
    <row r="38" spans="1:55" x14ac:dyDescent="0.25">
      <c r="A38" s="8" t="s">
        <v>153</v>
      </c>
      <c r="B38" s="8" t="s">
        <v>164</v>
      </c>
      <c r="C38" s="18" t="s">
        <v>165</v>
      </c>
      <c r="D38" s="47" t="s">
        <v>527</v>
      </c>
      <c r="E38" s="47" t="s">
        <v>110</v>
      </c>
      <c r="F38" s="47">
        <v>1.1998614888000001</v>
      </c>
      <c r="G38" s="48">
        <v>10554000</v>
      </c>
      <c r="H38" s="48"/>
      <c r="I38" s="50" t="s">
        <v>68</v>
      </c>
      <c r="J38" s="48">
        <f>14%*1607000000</f>
        <v>224980000.00000003</v>
      </c>
      <c r="K38" s="49">
        <f t="shared" si="4"/>
        <v>269944837.75022405</v>
      </c>
      <c r="L38" s="50"/>
      <c r="M38" s="49"/>
      <c r="N38" s="50"/>
      <c r="O38" s="51"/>
      <c r="P38" s="50"/>
      <c r="Q38" s="51">
        <f t="shared" si="0"/>
        <v>0</v>
      </c>
      <c r="R38" s="50"/>
      <c r="S38" s="49">
        <f t="shared" si="5"/>
        <v>0</v>
      </c>
      <c r="T38" s="50"/>
      <c r="U38" s="50"/>
      <c r="V38" s="50"/>
      <c r="W38" s="50"/>
      <c r="X38" s="50"/>
      <c r="Y38" s="50"/>
      <c r="Z38" s="50"/>
      <c r="AA38" s="50"/>
      <c r="AB38" s="50"/>
      <c r="AC38" s="50"/>
      <c r="AD38" s="50"/>
      <c r="AE38" s="50"/>
      <c r="AF38" s="50"/>
      <c r="AG38" s="50"/>
      <c r="AH38" s="50"/>
      <c r="AI38" s="50"/>
      <c r="AJ38" s="56"/>
      <c r="AK38" s="50"/>
      <c r="AL38" s="56"/>
      <c r="AM38" s="50"/>
      <c r="AN38" s="50"/>
      <c r="AO38" s="50"/>
      <c r="AP38" s="50"/>
      <c r="AQ38" s="50">
        <f>17%*941000000</f>
        <v>159970000</v>
      </c>
      <c r="AR38" s="51"/>
      <c r="AS38" s="50"/>
      <c r="AT38" s="50"/>
      <c r="AU38" s="50"/>
      <c r="AV38" s="56"/>
      <c r="AW38" s="53"/>
      <c r="AX38" s="122"/>
      <c r="AY38" s="55"/>
      <c r="AZ38" s="120"/>
      <c r="BA38" s="120"/>
      <c r="BB38" s="120"/>
      <c r="BC38"/>
    </row>
    <row r="39" spans="1:55" x14ac:dyDescent="0.25">
      <c r="A39" s="8" t="s">
        <v>153</v>
      </c>
      <c r="B39" s="8" t="s">
        <v>166</v>
      </c>
      <c r="C39" s="9" t="s">
        <v>167</v>
      </c>
      <c r="D39" s="47" t="s">
        <v>527</v>
      </c>
      <c r="E39" s="47" t="s">
        <v>168</v>
      </c>
      <c r="F39" s="47">
        <v>1.9982162800000002E-2</v>
      </c>
      <c r="G39" s="48">
        <v>11500000</v>
      </c>
      <c r="H39" s="48"/>
      <c r="I39" s="50">
        <v>99528</v>
      </c>
      <c r="J39" s="70">
        <v>2996000000</v>
      </c>
      <c r="K39" s="71">
        <f t="shared" si="4"/>
        <v>59866559.748800002</v>
      </c>
      <c r="L39" s="50">
        <f>(970+1655)*1000000</f>
        <v>2625000000</v>
      </c>
      <c r="M39" s="49">
        <f>F39*L39</f>
        <v>52453177.350000001</v>
      </c>
      <c r="N39" s="50">
        <f>1655000000</f>
        <v>1655000000</v>
      </c>
      <c r="O39" s="51">
        <f>N39*F39</f>
        <v>33070479.434000004</v>
      </c>
      <c r="P39" s="50"/>
      <c r="Q39" s="51">
        <f t="shared" si="0"/>
        <v>0</v>
      </c>
      <c r="R39" s="50">
        <v>970000000</v>
      </c>
      <c r="S39" s="49">
        <f t="shared" si="5"/>
        <v>19382697.916000001</v>
      </c>
      <c r="T39" s="50"/>
      <c r="U39" s="50"/>
      <c r="V39" s="50"/>
      <c r="W39" s="50"/>
      <c r="X39" s="50"/>
      <c r="Y39" s="50"/>
      <c r="Z39" s="50"/>
      <c r="AA39" s="50"/>
      <c r="AB39" s="50"/>
      <c r="AC39" s="50"/>
      <c r="AD39" s="50"/>
      <c r="AE39" s="50"/>
      <c r="AF39" s="50"/>
      <c r="AG39" s="50"/>
      <c r="AH39" s="50"/>
      <c r="AI39" s="50"/>
      <c r="AJ39" s="56"/>
      <c r="AK39" s="50"/>
      <c r="AL39" s="56"/>
      <c r="AM39" s="50"/>
      <c r="AN39" s="50"/>
      <c r="AO39" s="50"/>
      <c r="AP39" s="50"/>
      <c r="AQ39" s="50">
        <v>2109000000</v>
      </c>
      <c r="AR39" s="51">
        <f>AQ39*F39</f>
        <v>42142381.345200002</v>
      </c>
      <c r="AS39" s="50"/>
      <c r="AT39" s="50"/>
      <c r="AU39" s="50"/>
      <c r="AV39" s="56">
        <v>940000000</v>
      </c>
      <c r="AW39" s="53">
        <f>AV39*F39</f>
        <v>18783233.032000002</v>
      </c>
      <c r="AX39" s="120"/>
      <c r="AY39" s="55"/>
      <c r="AZ39" s="120"/>
      <c r="BA39" s="120"/>
      <c r="BB39" s="120"/>
      <c r="BC39"/>
    </row>
    <row r="40" spans="1:55" x14ac:dyDescent="0.25">
      <c r="A40" s="8" t="s">
        <v>153</v>
      </c>
      <c r="B40" s="8" t="s">
        <v>166</v>
      </c>
      <c r="C40" s="18" t="s">
        <v>169</v>
      </c>
      <c r="D40" s="73" t="s">
        <v>527</v>
      </c>
      <c r="E40" s="73" t="s">
        <v>168</v>
      </c>
      <c r="F40" s="73">
        <v>1.9982162800000002E-2</v>
      </c>
      <c r="G40" s="74" t="s">
        <v>549</v>
      </c>
      <c r="H40" s="74"/>
      <c r="I40" s="75"/>
      <c r="J40" s="86">
        <v>14191292485</v>
      </c>
      <c r="K40" s="87">
        <f t="shared" si="4"/>
        <v>283572716.7776866</v>
      </c>
      <c r="L40" s="75">
        <f>4935047399+5085278264</f>
        <v>10020325663</v>
      </c>
      <c r="M40" s="76"/>
      <c r="N40" s="75"/>
      <c r="O40" s="77"/>
      <c r="P40" s="75">
        <v>4935047399</v>
      </c>
      <c r="Q40" s="77"/>
      <c r="R40" s="75"/>
      <c r="S40" s="76"/>
      <c r="T40" s="75"/>
      <c r="U40" s="75"/>
      <c r="V40" s="75"/>
      <c r="W40" s="75"/>
      <c r="X40" s="75"/>
      <c r="Y40" s="75"/>
      <c r="Z40" s="75"/>
      <c r="AA40" s="75"/>
      <c r="AB40" s="75"/>
      <c r="AC40" s="75"/>
      <c r="AD40" s="75"/>
      <c r="AE40" s="75"/>
      <c r="AF40" s="75">
        <v>352534034</v>
      </c>
      <c r="AG40" s="75"/>
      <c r="AH40" s="75"/>
      <c r="AI40" s="75"/>
      <c r="AJ40" s="75">
        <v>1022860215</v>
      </c>
      <c r="AK40" s="73"/>
      <c r="AL40" s="75">
        <v>873812205</v>
      </c>
      <c r="AM40" s="76"/>
      <c r="AN40" s="75">
        <v>866454312</v>
      </c>
      <c r="AO40" s="76"/>
      <c r="AP40" s="75"/>
      <c r="AQ40" s="75"/>
      <c r="AR40" s="77"/>
      <c r="AS40" s="75"/>
      <c r="AT40" s="75">
        <v>6231514966</v>
      </c>
      <c r="AU40" s="77"/>
      <c r="AV40" s="78">
        <v>6891172000</v>
      </c>
      <c r="AW40" s="79"/>
      <c r="AX40" s="124">
        <v>59323059000</v>
      </c>
      <c r="AY40" s="80"/>
      <c r="AZ40" s="124">
        <f>(59323059000+54622861000)/2</f>
        <v>56972960000</v>
      </c>
      <c r="BA40" s="124">
        <v>8118149555</v>
      </c>
      <c r="BB40" s="124">
        <v>5730333538</v>
      </c>
      <c r="BC40"/>
    </row>
    <row r="41" spans="1:55" x14ac:dyDescent="0.25">
      <c r="A41" s="8" t="s">
        <v>153</v>
      </c>
      <c r="B41" s="8" t="s">
        <v>166</v>
      </c>
      <c r="C41" s="9" t="s">
        <v>170</v>
      </c>
      <c r="D41" s="8" t="s">
        <v>83</v>
      </c>
      <c r="E41" s="8" t="s">
        <v>168</v>
      </c>
      <c r="F41" s="8">
        <v>1.9982162800000002E-2</v>
      </c>
      <c r="G41" s="10">
        <f>1083188+431343</f>
        <v>1514531</v>
      </c>
      <c r="H41" s="10"/>
      <c r="I41" s="12">
        <f>7221+5339</f>
        <v>12560</v>
      </c>
      <c r="J41" s="10">
        <v>774722692</v>
      </c>
      <c r="K41" s="24">
        <f t="shared" si="4"/>
        <v>15480634.956398258</v>
      </c>
      <c r="L41" s="12">
        <v>367210000</v>
      </c>
      <c r="M41" s="11">
        <f>F41*L41</f>
        <v>7337650.0017880006</v>
      </c>
      <c r="N41" s="12"/>
      <c r="O41" s="13"/>
      <c r="P41" s="12">
        <v>89898103</v>
      </c>
      <c r="Q41" s="13">
        <f t="shared" si="0"/>
        <v>1796358.5295571685</v>
      </c>
      <c r="R41" s="12">
        <v>446905000</v>
      </c>
      <c r="S41" s="11">
        <f t="shared" si="5"/>
        <v>8930128.4661340006</v>
      </c>
      <c r="T41" s="12"/>
      <c r="U41" s="12"/>
      <c r="V41" s="12"/>
      <c r="W41" s="12"/>
      <c r="X41" s="12"/>
      <c r="Y41" s="12"/>
      <c r="Z41" s="12"/>
      <c r="AA41" s="12"/>
      <c r="AB41" s="12"/>
      <c r="AC41" s="12"/>
      <c r="AD41" s="12">
        <v>14100000</v>
      </c>
      <c r="AE41" s="13">
        <f>AD41*F41</f>
        <v>281748.49548000004</v>
      </c>
      <c r="AF41" s="12">
        <v>14649250</v>
      </c>
      <c r="AG41" s="11">
        <f>AF41*F41</f>
        <v>292723.69839790004</v>
      </c>
      <c r="AH41" s="12">
        <f>AN41+228832952+AS41</f>
        <v>604709223</v>
      </c>
      <c r="AI41" s="12"/>
      <c r="AJ41" s="14">
        <v>63328774</v>
      </c>
      <c r="AK41" s="11">
        <f>AJ41*F41</f>
        <v>1265445.8719924074</v>
      </c>
      <c r="AL41" s="14">
        <v>40621828</v>
      </c>
      <c r="AM41" s="11">
        <f>AL41*F41</f>
        <v>811711.98032959842</v>
      </c>
      <c r="AN41" s="12">
        <v>204844825</v>
      </c>
      <c r="AO41" s="11">
        <f>AN41*F41</f>
        <v>4093242.6418875102</v>
      </c>
      <c r="AP41" s="12"/>
      <c r="AQ41" s="12">
        <f>AS41+AT41</f>
        <v>341044915</v>
      </c>
      <c r="AR41" s="13">
        <f>AQ41*F41</f>
        <v>6814815.0136421621</v>
      </c>
      <c r="AS41" s="12">
        <f>171031446</f>
        <v>171031446</v>
      </c>
      <c r="AT41" s="12">
        <f>J41-AH41</f>
        <v>170013469</v>
      </c>
      <c r="AU41" s="13">
        <f>AT41*F41</f>
        <v>3397236.8157507535</v>
      </c>
      <c r="AV41" s="15">
        <v>177180000</v>
      </c>
      <c r="AW41" s="16">
        <f>AV41*F41</f>
        <v>3540439.6049040002</v>
      </c>
      <c r="AX41" s="119">
        <v>3117986799</v>
      </c>
      <c r="AY41" s="17">
        <f>AX41*F41</f>
        <v>62304119.825868882</v>
      </c>
      <c r="AZ41" s="119"/>
      <c r="BA41" s="119"/>
      <c r="BB41" s="119"/>
      <c r="BC41"/>
    </row>
    <row r="42" spans="1:55" ht="17.25" customHeight="1" x14ac:dyDescent="0.25">
      <c r="A42" s="8" t="s">
        <v>153</v>
      </c>
      <c r="B42" s="8" t="s">
        <v>171</v>
      </c>
      <c r="C42" s="25" t="s">
        <v>172</v>
      </c>
      <c r="D42" s="47" t="s">
        <v>527</v>
      </c>
      <c r="E42" s="47" t="s">
        <v>173</v>
      </c>
      <c r="F42" s="47">
        <v>0.24712689509999999</v>
      </c>
      <c r="G42" s="48">
        <v>96600000</v>
      </c>
      <c r="H42" s="48"/>
      <c r="I42" s="50"/>
      <c r="J42" s="48">
        <f>L42+R42</f>
        <v>3415000000</v>
      </c>
      <c r="K42" s="49"/>
      <c r="L42" s="50">
        <v>1797000000</v>
      </c>
      <c r="M42" s="49"/>
      <c r="N42" s="50">
        <v>1387700000</v>
      </c>
      <c r="O42" s="51"/>
      <c r="P42" s="50">
        <v>406200000</v>
      </c>
      <c r="Q42" s="51"/>
      <c r="R42" s="50">
        <v>1618000000</v>
      </c>
      <c r="S42" s="49"/>
      <c r="T42" s="50"/>
      <c r="U42" s="50"/>
      <c r="V42" s="50"/>
      <c r="W42" s="50"/>
      <c r="X42" s="50">
        <v>831100000</v>
      </c>
      <c r="Y42" s="50"/>
      <c r="Z42" s="50"/>
      <c r="AA42" s="50"/>
      <c r="AB42" s="50"/>
      <c r="AC42" s="50"/>
      <c r="AD42" s="50"/>
      <c r="AE42" s="50"/>
      <c r="AF42" s="50">
        <v>61900000</v>
      </c>
      <c r="AG42" s="49"/>
      <c r="AH42" s="50">
        <v>1951000000</v>
      </c>
      <c r="AI42" s="50"/>
      <c r="AJ42" s="52" t="s">
        <v>0</v>
      </c>
      <c r="AK42" s="49"/>
      <c r="AL42" s="52">
        <v>289700000</v>
      </c>
      <c r="AM42" s="49"/>
      <c r="AN42" s="50">
        <v>644900000</v>
      </c>
      <c r="AO42" s="49"/>
      <c r="AP42" s="50"/>
      <c r="AQ42" s="50">
        <v>1510300000</v>
      </c>
      <c r="AR42" s="51">
        <f>AQ42*F42</f>
        <v>373235749.66952997</v>
      </c>
      <c r="AS42" s="50"/>
      <c r="AT42" s="50">
        <v>989500000</v>
      </c>
      <c r="AU42" s="51"/>
      <c r="AV42" s="56"/>
      <c r="AW42" s="53"/>
      <c r="AX42" s="122"/>
      <c r="AY42" s="55"/>
      <c r="AZ42" s="120"/>
      <c r="BA42" s="120"/>
      <c r="BB42" s="120"/>
      <c r="BC42"/>
    </row>
    <row r="43" spans="1:55" x14ac:dyDescent="0.25">
      <c r="A43" s="8" t="s">
        <v>153</v>
      </c>
      <c r="B43" s="8" t="s">
        <v>171</v>
      </c>
      <c r="C43" s="9" t="s">
        <v>174</v>
      </c>
      <c r="D43" s="57" t="s">
        <v>83</v>
      </c>
      <c r="E43" s="57" t="s">
        <v>173</v>
      </c>
      <c r="F43" s="57">
        <v>0.24712689509999999</v>
      </c>
      <c r="G43" s="58">
        <v>58500000</v>
      </c>
      <c r="H43" s="58"/>
      <c r="I43" s="59">
        <v>386000</v>
      </c>
      <c r="J43" s="58"/>
      <c r="K43" s="60"/>
      <c r="L43" s="59"/>
      <c r="M43" s="60"/>
      <c r="N43" s="59"/>
      <c r="O43" s="61"/>
      <c r="P43" s="59"/>
      <c r="Q43" s="61">
        <f t="shared" si="0"/>
        <v>0</v>
      </c>
      <c r="R43" s="59"/>
      <c r="S43" s="60">
        <f t="shared" si="5"/>
        <v>0</v>
      </c>
      <c r="T43" s="59"/>
      <c r="U43" s="59"/>
      <c r="V43" s="59"/>
      <c r="W43" s="59"/>
      <c r="X43" s="59"/>
      <c r="Y43" s="59"/>
      <c r="Z43" s="59"/>
      <c r="AA43" s="59"/>
      <c r="AB43" s="59" t="s">
        <v>0</v>
      </c>
      <c r="AC43" s="61" t="e">
        <f>AB43*F43</f>
        <v>#VALUE!</v>
      </c>
      <c r="AD43" s="59"/>
      <c r="AE43" s="59"/>
      <c r="AF43" s="59"/>
      <c r="AG43" s="59"/>
      <c r="AH43" s="57"/>
      <c r="AI43" s="57"/>
      <c r="AJ43" s="72"/>
      <c r="AK43" s="57"/>
      <c r="AL43" s="72"/>
      <c r="AM43" s="60"/>
      <c r="AN43" s="59"/>
      <c r="AO43" s="59"/>
      <c r="AP43" s="59"/>
      <c r="AQ43" s="59"/>
      <c r="AR43" s="61"/>
      <c r="AS43" s="59"/>
      <c r="AT43" s="59"/>
      <c r="AU43" s="59"/>
      <c r="AV43" s="64"/>
      <c r="AW43" s="65"/>
      <c r="AX43" s="136"/>
      <c r="AY43" s="66"/>
      <c r="AZ43" s="123"/>
      <c r="BA43" s="123"/>
      <c r="BB43" s="123"/>
      <c r="BC43"/>
    </row>
    <row r="44" spans="1:55" x14ac:dyDescent="0.25">
      <c r="A44" s="8" t="s">
        <v>153</v>
      </c>
      <c r="B44" s="8" t="s">
        <v>171</v>
      </c>
      <c r="C44" s="18" t="s">
        <v>175</v>
      </c>
      <c r="D44" s="73" t="s">
        <v>527</v>
      </c>
      <c r="E44" s="73" t="s">
        <v>173</v>
      </c>
      <c r="F44" s="73">
        <v>0.24712689509999999</v>
      </c>
      <c r="G44" s="74">
        <v>3500000</v>
      </c>
      <c r="H44" s="74"/>
      <c r="I44" s="75" t="s">
        <v>68</v>
      </c>
      <c r="J44" s="74">
        <v>70000000</v>
      </c>
      <c r="K44" s="76">
        <f t="shared" ref="K44:K88" si="12">J44*F44</f>
        <v>17298882.656999998</v>
      </c>
      <c r="L44" s="75">
        <v>39000000</v>
      </c>
      <c r="M44" s="76">
        <v>48000000</v>
      </c>
      <c r="N44" s="75"/>
      <c r="O44" s="77"/>
      <c r="P44" s="75"/>
      <c r="Q44" s="77">
        <f t="shared" si="0"/>
        <v>0</v>
      </c>
      <c r="R44" s="75">
        <v>22000000</v>
      </c>
      <c r="S44" s="76">
        <f t="shared" si="5"/>
        <v>5436791.6921999995</v>
      </c>
      <c r="T44" s="75"/>
      <c r="U44" s="75"/>
      <c r="V44" s="75"/>
      <c r="W44" s="75"/>
      <c r="X44" s="75"/>
      <c r="Y44" s="75"/>
      <c r="Z44" s="75"/>
      <c r="AA44" s="75"/>
      <c r="AB44" s="75"/>
      <c r="AC44" s="75"/>
      <c r="AD44" s="75"/>
      <c r="AE44" s="75"/>
      <c r="AF44" s="75"/>
      <c r="AG44" s="75"/>
      <c r="AH44" s="75"/>
      <c r="AI44" s="75"/>
      <c r="AJ44" s="78"/>
      <c r="AK44" s="75"/>
      <c r="AL44" s="78"/>
      <c r="AM44" s="76"/>
      <c r="AN44" s="75"/>
      <c r="AO44" s="75"/>
      <c r="AP44" s="75"/>
      <c r="AQ44" s="75">
        <v>41000000</v>
      </c>
      <c r="AR44" s="77">
        <f>AQ44*F44</f>
        <v>10132202.699099999</v>
      </c>
      <c r="AS44" s="75"/>
      <c r="AT44" s="75"/>
      <c r="AU44" s="75"/>
      <c r="AV44" s="78"/>
      <c r="AW44" s="79"/>
      <c r="AX44" s="125"/>
      <c r="AY44" s="80"/>
      <c r="AZ44" s="124"/>
      <c r="BA44" s="124"/>
      <c r="BB44" s="124"/>
      <c r="BC44"/>
    </row>
    <row r="45" spans="1:55" x14ac:dyDescent="0.25">
      <c r="A45" s="8" t="s">
        <v>153</v>
      </c>
      <c r="B45" s="8" t="s">
        <v>176</v>
      </c>
      <c r="C45" s="9" t="s">
        <v>177</v>
      </c>
      <c r="D45" s="73" t="s">
        <v>527</v>
      </c>
      <c r="E45" s="73" t="s">
        <v>178</v>
      </c>
      <c r="F45" s="81">
        <v>4.4032300000000002E-5</v>
      </c>
      <c r="G45" s="74">
        <v>94100000</v>
      </c>
      <c r="H45" s="74"/>
      <c r="I45" s="75" t="s">
        <v>68</v>
      </c>
      <c r="J45" s="74">
        <v>16142028856535</v>
      </c>
      <c r="K45" s="76">
        <f t="shared" si="12"/>
        <v>710770657.21960616</v>
      </c>
      <c r="L45" s="75">
        <f>12883105105245</f>
        <v>12883105105245</v>
      </c>
      <c r="M45" s="76">
        <f>F45*L45</f>
        <v>567272748.92567945</v>
      </c>
      <c r="N45" s="75">
        <v>9021482272927</v>
      </c>
      <c r="O45" s="77">
        <f>N45*F45</f>
        <v>397236613.88620359</v>
      </c>
      <c r="P45" s="75"/>
      <c r="Q45" s="77"/>
      <c r="R45" s="75">
        <f>1890297168438</f>
        <v>1890297168438</v>
      </c>
      <c r="S45" s="76">
        <f t="shared" si="5"/>
        <v>83234132.009812549</v>
      </c>
      <c r="T45" s="75"/>
      <c r="U45" s="75"/>
      <c r="V45" s="75"/>
      <c r="W45" s="75"/>
      <c r="X45" s="75"/>
      <c r="Y45" s="75"/>
      <c r="Z45" s="75"/>
      <c r="AA45" s="75"/>
      <c r="AB45" s="75"/>
      <c r="AC45" s="75"/>
      <c r="AD45" s="75">
        <v>265387966305</v>
      </c>
      <c r="AE45" s="77">
        <f>AD45*F45</f>
        <v>11685642.548731651</v>
      </c>
      <c r="AF45" s="75"/>
      <c r="AG45" s="75"/>
      <c r="AH45" s="75">
        <f>J45-7389607187778</f>
        <v>8752421668757</v>
      </c>
      <c r="AI45" s="75"/>
      <c r="AJ45" s="82">
        <v>411556018308</v>
      </c>
      <c r="AK45" s="76"/>
      <c r="AL45" s="82">
        <v>377574507046</v>
      </c>
      <c r="AM45" s="76"/>
      <c r="AN45" s="75">
        <v>2546437851142</v>
      </c>
      <c r="AO45" s="76"/>
      <c r="AP45" s="75">
        <v>9748</v>
      </c>
      <c r="AQ45" s="75"/>
      <c r="AR45" s="77"/>
      <c r="AS45" s="75">
        <v>393201791419</v>
      </c>
      <c r="AT45" s="75">
        <f>7447536474048</f>
        <v>7447536474048</v>
      </c>
      <c r="AU45" s="77">
        <f>AT45*F45</f>
        <v>327932160.28622377</v>
      </c>
      <c r="AV45" s="83">
        <v>6028301019385</v>
      </c>
      <c r="AW45" s="79">
        <f>AV45*F45</f>
        <v>265439958.97586614</v>
      </c>
      <c r="AX45" s="124">
        <v>53003347374270</v>
      </c>
      <c r="AY45" s="80">
        <f>AX45*F45</f>
        <v>2333859292.588069</v>
      </c>
      <c r="AZ45" s="124">
        <f>(AX45+48760917755284)/2</f>
        <v>50882132564777</v>
      </c>
      <c r="BA45" s="124" t="s">
        <v>548</v>
      </c>
      <c r="BB45" s="124">
        <v>7901788940110</v>
      </c>
      <c r="BC45"/>
    </row>
    <row r="46" spans="1:55" x14ac:dyDescent="0.25">
      <c r="A46" s="8" t="s">
        <v>153</v>
      </c>
      <c r="B46" s="8" t="s">
        <v>179</v>
      </c>
      <c r="C46" s="9" t="s">
        <v>180</v>
      </c>
      <c r="D46" s="73" t="s">
        <v>135</v>
      </c>
      <c r="E46" s="73" t="s">
        <v>181</v>
      </c>
      <c r="F46" s="73">
        <v>0.7627306479</v>
      </c>
      <c r="G46" s="74"/>
      <c r="H46" s="74"/>
      <c r="I46" s="75"/>
      <c r="J46" s="74">
        <v>2601829000</v>
      </c>
      <c r="K46" s="76">
        <f t="shared" si="12"/>
        <v>1984494718.895009</v>
      </c>
      <c r="L46" s="75">
        <f>J46-R46</f>
        <v>1022571000</v>
      </c>
      <c r="M46" s="76">
        <f>F46*L46</f>
        <v>779946241.35375094</v>
      </c>
      <c r="N46" s="75"/>
      <c r="O46" s="77"/>
      <c r="P46" s="75"/>
      <c r="Q46" s="77">
        <f t="shared" si="0"/>
        <v>0</v>
      </c>
      <c r="R46" s="75">
        <f>1297569000+281689000</f>
        <v>1579258000</v>
      </c>
      <c r="S46" s="76">
        <f t="shared" si="5"/>
        <v>1204548477.5412581</v>
      </c>
      <c r="T46" s="75">
        <f>1297569000</f>
        <v>1297569000</v>
      </c>
      <c r="U46" s="75"/>
      <c r="V46" s="75"/>
      <c r="W46" s="75"/>
      <c r="X46" s="75"/>
      <c r="Y46" s="75"/>
      <c r="Z46" s="75"/>
      <c r="AA46" s="75"/>
      <c r="AB46" s="73"/>
      <c r="AC46" s="73"/>
      <c r="AD46" s="75"/>
      <c r="AE46" s="75"/>
      <c r="AF46" s="75"/>
      <c r="AG46" s="75"/>
      <c r="AH46" s="75">
        <f>1648958000-(357218000)+AS46</f>
        <v>1648958000</v>
      </c>
      <c r="AI46" s="75"/>
      <c r="AJ46" s="82"/>
      <c r="AK46" s="76"/>
      <c r="AL46" s="82">
        <v>260421000</v>
      </c>
      <c r="AM46" s="76">
        <f>AL46*F46</f>
        <v>198631078.05676591</v>
      </c>
      <c r="AN46" s="75">
        <v>256593000</v>
      </c>
      <c r="AO46" s="76">
        <f>AN46*F46</f>
        <v>195711345.1366047</v>
      </c>
      <c r="AP46" s="75">
        <v>1800</v>
      </c>
      <c r="AQ46" s="75">
        <f>AS46+AT46</f>
        <v>1310089000</v>
      </c>
      <c r="AR46" s="77">
        <f>AQ46*F46</f>
        <v>999245031.77666306</v>
      </c>
      <c r="AS46" s="75">
        <f>(344016+13202)*1000</f>
        <v>357218000</v>
      </c>
      <c r="AT46" s="75">
        <f>J46-AH46</f>
        <v>952871000</v>
      </c>
      <c r="AU46" s="77">
        <f>AT46*F46</f>
        <v>726783915.19512093</v>
      </c>
      <c r="AV46" s="78">
        <v>834901000</v>
      </c>
      <c r="AW46" s="79">
        <f>AV46*F46</f>
        <v>636804580.66235793</v>
      </c>
      <c r="AX46" s="124">
        <v>14893459000</v>
      </c>
      <c r="AY46" s="80">
        <f>AX46*F46</f>
        <v>11359697632.542086</v>
      </c>
      <c r="AZ46" s="124">
        <f>(AX46+9259849000)/2</f>
        <v>12076654000</v>
      </c>
      <c r="BA46" s="124">
        <v>1807618000</v>
      </c>
      <c r="BB46" s="124">
        <v>1247636000</v>
      </c>
      <c r="BC46"/>
    </row>
    <row r="47" spans="1:55" x14ac:dyDescent="0.25">
      <c r="A47" s="8" t="s">
        <v>182</v>
      </c>
      <c r="B47" s="8" t="s">
        <v>183</v>
      </c>
      <c r="C47" s="9" t="s">
        <v>184</v>
      </c>
      <c r="D47" s="73" t="s">
        <v>527</v>
      </c>
      <c r="E47" s="73" t="s">
        <v>185</v>
      </c>
      <c r="F47" s="73">
        <v>0.143994701</v>
      </c>
      <c r="G47" s="74"/>
      <c r="H47" s="74"/>
      <c r="I47" s="75"/>
      <c r="J47" s="74">
        <v>4700151173.6099997</v>
      </c>
      <c r="K47" s="76"/>
      <c r="L47" s="75"/>
      <c r="M47" s="76"/>
      <c r="N47" s="75">
        <f>1277254587.69+40330718.69</f>
        <v>1317585306.3800001</v>
      </c>
      <c r="O47" s="77"/>
      <c r="P47" s="75">
        <f>513795619.87+18073764.15+44310780.97+298299.6</f>
        <v>576478464.59000003</v>
      </c>
      <c r="Q47" s="77"/>
      <c r="R47" s="75"/>
      <c r="S47" s="76"/>
      <c r="T47" s="75">
        <v>475445083.60000002</v>
      </c>
      <c r="U47" s="75"/>
      <c r="V47" s="75"/>
      <c r="W47" s="75"/>
      <c r="X47" s="75"/>
      <c r="Y47" s="75"/>
      <c r="Z47" s="75"/>
      <c r="AA47" s="77"/>
      <c r="AB47" s="75"/>
      <c r="AC47" s="75"/>
      <c r="AD47" s="75">
        <v>562764.24</v>
      </c>
      <c r="AE47" s="75"/>
      <c r="AF47" s="75">
        <v>23213706.789999999</v>
      </c>
      <c r="AG47" s="75"/>
      <c r="AH47" s="75">
        <v>4332285815.5699997</v>
      </c>
      <c r="AI47" s="75"/>
      <c r="AJ47" s="82">
        <v>86735118.260000005</v>
      </c>
      <c r="AK47" s="76"/>
      <c r="AL47" s="82">
        <v>181286058.78999999</v>
      </c>
      <c r="AM47" s="76"/>
      <c r="AN47" s="75">
        <f>1714233035.79+10357338.96+205825451.29</f>
        <v>1930415826.04</v>
      </c>
      <c r="AO47" s="76"/>
      <c r="AP47" s="75"/>
      <c r="AQ47" s="75"/>
      <c r="AR47" s="77"/>
      <c r="AS47" s="75"/>
      <c r="AT47" s="78">
        <v>95967935</v>
      </c>
      <c r="AU47" s="77"/>
      <c r="AV47" s="78">
        <v>105045592</v>
      </c>
      <c r="AW47" s="79"/>
      <c r="AX47" s="124">
        <f>38261161685.76</f>
        <v>38261161685.760002</v>
      </c>
      <c r="AY47" s="80"/>
      <c r="AZ47" s="124">
        <f>(38261161685.76+37281917021.62)/2</f>
        <v>37771539353.690002</v>
      </c>
      <c r="BA47" s="124">
        <v>4213562604.98</v>
      </c>
      <c r="BB47" s="124">
        <v>353271247</v>
      </c>
      <c r="BC47"/>
    </row>
    <row r="48" spans="1:55" x14ac:dyDescent="0.25">
      <c r="A48" s="8" t="s">
        <v>182</v>
      </c>
      <c r="B48" s="8" t="s">
        <v>183</v>
      </c>
      <c r="C48" s="9" t="s">
        <v>186</v>
      </c>
      <c r="D48" s="73" t="s">
        <v>527</v>
      </c>
      <c r="E48" s="73" t="s">
        <v>185</v>
      </c>
      <c r="F48" s="73">
        <v>0.1537053666</v>
      </c>
      <c r="G48" s="74">
        <f>2655.34*10000</f>
        <v>26553400</v>
      </c>
      <c r="H48" s="74"/>
      <c r="I48" s="75">
        <f>19.34*10000</f>
        <v>193400</v>
      </c>
      <c r="J48" s="74">
        <v>1777155707.8399999</v>
      </c>
      <c r="K48" s="76"/>
      <c r="L48" s="75">
        <v>1155146680.52</v>
      </c>
      <c r="M48" s="76"/>
      <c r="N48" s="75"/>
      <c r="O48" s="77"/>
      <c r="P48" s="75"/>
      <c r="Q48" s="77"/>
      <c r="R48" s="75">
        <f>J48-L48</f>
        <v>622009027.31999993</v>
      </c>
      <c r="S48" s="76"/>
      <c r="T48" s="75"/>
      <c r="U48" s="75"/>
      <c r="V48" s="75"/>
      <c r="W48" s="75"/>
      <c r="X48" s="75"/>
      <c r="Y48" s="75"/>
      <c r="Z48" s="75"/>
      <c r="AA48" s="75"/>
      <c r="AB48" s="75"/>
      <c r="AC48" s="75"/>
      <c r="AD48" s="75"/>
      <c r="AE48" s="77"/>
      <c r="AF48" s="75"/>
      <c r="AG48" s="76"/>
      <c r="AH48" s="75">
        <v>1016911453.83</v>
      </c>
      <c r="AI48" s="75"/>
      <c r="AJ48" s="82"/>
      <c r="AK48" s="76"/>
      <c r="AL48" s="82"/>
      <c r="AM48" s="76"/>
      <c r="AN48" s="75">
        <v>430447319.58999997</v>
      </c>
      <c r="AO48" s="76"/>
      <c r="AP48" s="75"/>
      <c r="AQ48" s="75"/>
      <c r="AR48" s="77"/>
      <c r="AS48" s="75"/>
      <c r="AT48" s="75">
        <v>704774603.92999995</v>
      </c>
      <c r="AU48" s="77"/>
      <c r="AV48" s="85">
        <v>526793448.81</v>
      </c>
      <c r="AW48" s="79"/>
      <c r="AX48" s="124">
        <v>4627588345.6000004</v>
      </c>
      <c r="AY48" s="80"/>
      <c r="AZ48" s="124">
        <f>(AX48+4426755928.8)/2</f>
        <v>4527172137.2000008</v>
      </c>
      <c r="BA48" s="124">
        <v>798445547.85000002</v>
      </c>
      <c r="BB48" s="124">
        <v>857528350.76999998</v>
      </c>
      <c r="BC48"/>
    </row>
    <row r="49" spans="1:55" x14ac:dyDescent="0.25">
      <c r="A49" s="8" t="s">
        <v>182</v>
      </c>
      <c r="B49" s="8" t="s">
        <v>183</v>
      </c>
      <c r="C49" s="18" t="s">
        <v>547</v>
      </c>
      <c r="D49" s="73" t="s">
        <v>527</v>
      </c>
      <c r="E49" s="73" t="s">
        <v>185</v>
      </c>
      <c r="F49" s="73">
        <v>0.143994701</v>
      </c>
      <c r="G49" s="74">
        <v>49349000</v>
      </c>
      <c r="H49" s="74"/>
      <c r="I49" s="75">
        <v>356000</v>
      </c>
      <c r="J49" s="74">
        <v>3599235357.6599998</v>
      </c>
      <c r="K49" s="76">
        <f t="shared" si="12"/>
        <v>518270819.15487975</v>
      </c>
      <c r="L49" s="75"/>
      <c r="M49" s="76"/>
      <c r="N49" s="75"/>
      <c r="O49" s="77"/>
      <c r="P49" s="75"/>
      <c r="Q49" s="77"/>
      <c r="R49" s="75">
        <f>20%*J49</f>
        <v>719847071.53200006</v>
      </c>
      <c r="S49" s="76"/>
      <c r="T49" s="75"/>
      <c r="U49" s="75"/>
      <c r="V49" s="75"/>
      <c r="W49" s="75"/>
      <c r="X49" s="75"/>
      <c r="Y49" s="75"/>
      <c r="Z49" s="75"/>
      <c r="AA49" s="75"/>
      <c r="AB49" s="75"/>
      <c r="AC49" s="75"/>
      <c r="AD49" s="75">
        <v>389437414.33999997</v>
      </c>
      <c r="AE49" s="77"/>
      <c r="AF49" s="73"/>
      <c r="AG49" s="73"/>
      <c r="AH49" s="75"/>
      <c r="AI49" s="75"/>
      <c r="AJ49" s="82"/>
      <c r="AK49" s="76"/>
      <c r="AL49" s="82"/>
      <c r="AM49" s="76"/>
      <c r="AN49" s="75"/>
      <c r="AO49" s="75"/>
      <c r="AP49" s="131"/>
      <c r="AQ49" s="75"/>
      <c r="AR49" s="77"/>
      <c r="AS49" s="75"/>
      <c r="AT49" s="75"/>
      <c r="AU49" s="77"/>
      <c r="AV49" s="78">
        <v>668007718.90999997</v>
      </c>
      <c r="AW49" s="79">
        <f>AV49*F49</f>
        <v>96189571.750137493</v>
      </c>
      <c r="AX49" s="124">
        <v>13453440336.450001</v>
      </c>
      <c r="AY49" s="80">
        <f>AX49*F49</f>
        <v>1937224118.6684573</v>
      </c>
      <c r="AZ49" s="124">
        <f>(AX49+12479875588.52)/2</f>
        <v>12966657962.485001</v>
      </c>
      <c r="BA49" s="124">
        <v>1791145826.0799999</v>
      </c>
      <c r="BB49" s="124">
        <v>1054634660.03</v>
      </c>
      <c r="BC49"/>
    </row>
    <row r="50" spans="1:55" x14ac:dyDescent="0.25">
      <c r="A50" s="8" t="s">
        <v>182</v>
      </c>
      <c r="B50" s="8" t="s">
        <v>183</v>
      </c>
      <c r="C50" s="18" t="s">
        <v>187</v>
      </c>
      <c r="D50" s="73" t="s">
        <v>527</v>
      </c>
      <c r="E50" s="73" t="s">
        <v>185</v>
      </c>
      <c r="F50" s="73">
        <v>0.1537053666</v>
      </c>
      <c r="G50" s="74"/>
      <c r="H50" s="74"/>
      <c r="I50" s="75"/>
      <c r="J50" s="74">
        <v>9313114686.7399998</v>
      </c>
      <c r="K50" s="76">
        <f t="shared" si="12"/>
        <v>1431475707.1132159</v>
      </c>
      <c r="L50" s="75">
        <v>3969527989.1900001</v>
      </c>
      <c r="M50" s="76"/>
      <c r="N50" s="75">
        <v>2221807723.8000002</v>
      </c>
      <c r="O50" s="77"/>
      <c r="P50" s="75">
        <v>1747720265.3900001</v>
      </c>
      <c r="Q50" s="77"/>
      <c r="R50" s="75"/>
      <c r="S50" s="76"/>
      <c r="T50" s="75"/>
      <c r="U50" s="75"/>
      <c r="V50" s="75"/>
      <c r="W50" s="75"/>
      <c r="X50" s="75"/>
      <c r="Y50" s="75"/>
      <c r="Z50" s="75"/>
      <c r="AA50" s="75"/>
      <c r="AB50" s="75">
        <v>3985741691.8000002</v>
      </c>
      <c r="AC50" s="75"/>
      <c r="AD50" s="75"/>
      <c r="AE50" s="75"/>
      <c r="AF50" s="75"/>
      <c r="AG50" s="75"/>
      <c r="AH50" s="75">
        <v>4499345858.5900002</v>
      </c>
      <c r="AI50" s="75"/>
      <c r="AJ50" s="82"/>
      <c r="AK50" s="76"/>
      <c r="AL50" s="82"/>
      <c r="AM50" s="76"/>
      <c r="AN50" s="75">
        <v>1677301711.0599999</v>
      </c>
      <c r="AO50" s="76"/>
      <c r="AP50" s="75">
        <v>7108</v>
      </c>
      <c r="AQ50" s="75"/>
      <c r="AR50" s="77"/>
      <c r="AS50" s="75"/>
      <c r="AT50" s="75"/>
      <c r="AU50" s="77"/>
      <c r="AV50" s="78">
        <v>4231432034.8899999</v>
      </c>
      <c r="AW50" s="79">
        <f>AV50*F50</f>
        <v>650393812.16575146</v>
      </c>
      <c r="AX50" s="124">
        <v>30928729156.919998</v>
      </c>
      <c r="AY50" s="80"/>
      <c r="AZ50" s="124">
        <f>(AX50+27547399506.95)/2</f>
        <v>29238064331.934998</v>
      </c>
      <c r="BA50" s="124">
        <v>2286721760.3600001</v>
      </c>
      <c r="BB50" s="124">
        <v>4467517029.7200003</v>
      </c>
      <c r="BC50"/>
    </row>
    <row r="51" spans="1:55" x14ac:dyDescent="0.25">
      <c r="A51" s="8" t="s">
        <v>182</v>
      </c>
      <c r="B51" s="8" t="s">
        <v>183</v>
      </c>
      <c r="C51" s="18" t="s">
        <v>188</v>
      </c>
      <c r="D51" s="73" t="s">
        <v>83</v>
      </c>
      <c r="E51" s="73" t="s">
        <v>185</v>
      </c>
      <c r="F51" s="73">
        <v>0.1537053666</v>
      </c>
      <c r="G51" s="74">
        <v>25822936</v>
      </c>
      <c r="H51" s="74"/>
      <c r="I51" s="75">
        <v>209394</v>
      </c>
      <c r="J51" s="74">
        <v>2216094175.6300001</v>
      </c>
      <c r="K51" s="76">
        <f t="shared" si="12"/>
        <v>340625567.68533397</v>
      </c>
      <c r="L51" s="75"/>
      <c r="M51" s="76"/>
      <c r="N51" s="75">
        <v>481764567</v>
      </c>
      <c r="O51" s="77"/>
      <c r="P51" s="75">
        <v>207653676</v>
      </c>
      <c r="Q51" s="77"/>
      <c r="R51" s="75">
        <f>J51-207653676-481764567-359737378-7511798</f>
        <v>1159426756.6300001</v>
      </c>
      <c r="S51" s="76"/>
      <c r="T51" s="75"/>
      <c r="U51" s="75"/>
      <c r="V51" s="75"/>
      <c r="W51" s="75"/>
      <c r="X51" s="75"/>
      <c r="Y51" s="75"/>
      <c r="Z51" s="75">
        <v>80372123</v>
      </c>
      <c r="AA51" s="77"/>
      <c r="AB51" s="75"/>
      <c r="AC51" s="75"/>
      <c r="AD51" s="75">
        <v>75398524.510000005</v>
      </c>
      <c r="AE51" s="77"/>
      <c r="AF51" s="75">
        <v>47478967</v>
      </c>
      <c r="AG51" s="76"/>
      <c r="AH51" s="75">
        <v>2068030170.0999999</v>
      </c>
      <c r="AI51" s="75"/>
      <c r="AJ51" s="82"/>
      <c r="AK51" s="76"/>
      <c r="AL51" s="82"/>
      <c r="AM51" s="76"/>
      <c r="AN51" s="86"/>
      <c r="AO51" s="86"/>
      <c r="AP51" s="75"/>
      <c r="AQ51" s="75"/>
      <c r="AR51" s="77"/>
      <c r="AS51" s="75"/>
      <c r="AT51" s="75">
        <v>246935327</v>
      </c>
      <c r="AU51" s="77"/>
      <c r="AV51" s="78">
        <v>167227575</v>
      </c>
      <c r="AW51" s="79">
        <f>AV51*F51</f>
        <v>25703775.721003994</v>
      </c>
      <c r="AX51" s="125">
        <v>16331782729.42</v>
      </c>
      <c r="AY51" s="80"/>
      <c r="AZ51" s="124">
        <f>(AX51+17057522990)/2</f>
        <v>16694652859.709999</v>
      </c>
      <c r="BA51" s="124">
        <v>1777057816</v>
      </c>
      <c r="BB51" s="124">
        <v>892433891.99000001</v>
      </c>
      <c r="BC51"/>
    </row>
    <row r="52" spans="1:55" x14ac:dyDescent="0.25">
      <c r="A52" s="8" t="s">
        <v>182</v>
      </c>
      <c r="B52" s="8" t="s">
        <v>183</v>
      </c>
      <c r="C52" s="18" t="s">
        <v>189</v>
      </c>
      <c r="D52" s="73" t="s">
        <v>83</v>
      </c>
      <c r="E52" s="73" t="s">
        <v>185</v>
      </c>
      <c r="F52" s="73">
        <v>0.143994701</v>
      </c>
      <c r="G52" s="74"/>
      <c r="H52" s="74"/>
      <c r="I52" s="75"/>
      <c r="J52" s="74">
        <f>461401.26*10000</f>
        <v>4614012600</v>
      </c>
      <c r="K52" s="76"/>
      <c r="L52" s="75"/>
      <c r="M52" s="76"/>
      <c r="N52" s="75"/>
      <c r="O52" s="77"/>
      <c r="P52" s="75"/>
      <c r="Q52" s="77"/>
      <c r="R52" s="75"/>
      <c r="S52" s="76"/>
      <c r="T52" s="75"/>
      <c r="U52" s="75"/>
      <c r="V52" s="75"/>
      <c r="W52" s="75"/>
      <c r="X52" s="75"/>
      <c r="Y52" s="75"/>
      <c r="Z52" s="75"/>
      <c r="AA52" s="75"/>
      <c r="AB52" s="75"/>
      <c r="AC52" s="75"/>
      <c r="AD52" s="75"/>
      <c r="AE52" s="75"/>
      <c r="AF52" s="75"/>
      <c r="AG52" s="75"/>
      <c r="AH52" s="75">
        <f>355843.39*10000</f>
        <v>3558433900</v>
      </c>
      <c r="AI52" s="75"/>
      <c r="AJ52" s="82"/>
      <c r="AK52" s="76"/>
      <c r="AL52" s="82"/>
      <c r="AM52" s="76"/>
      <c r="AN52" s="75"/>
      <c r="AO52" s="75"/>
      <c r="AP52" s="75"/>
      <c r="AQ52" s="75"/>
      <c r="AR52" s="77"/>
      <c r="AS52" s="75"/>
      <c r="AT52" s="78">
        <f>43383.74*10000</f>
        <v>433837400</v>
      </c>
      <c r="AU52" s="75">
        <f>AT52*F52</f>
        <v>62470286.6956174</v>
      </c>
      <c r="AV52" s="78">
        <f>52333.2*10000</f>
        <v>523332000</v>
      </c>
      <c r="AW52" s="79">
        <f>AV52*F52</f>
        <v>75357034.863731995</v>
      </c>
      <c r="AX52" s="124">
        <f>3477496.42*10000</f>
        <v>34774964200</v>
      </c>
      <c r="AY52" s="80"/>
      <c r="AZ52" s="124">
        <f>(AX52+3217881.08*10000)/2</f>
        <v>33476887500</v>
      </c>
      <c r="BA52" s="124">
        <v>5343897124.9899998</v>
      </c>
      <c r="BB52" s="124">
        <v>5310380833.5699997</v>
      </c>
      <c r="BC52"/>
    </row>
    <row r="53" spans="1:55" x14ac:dyDescent="0.25">
      <c r="A53" s="8" t="s">
        <v>182</v>
      </c>
      <c r="B53" s="8" t="s">
        <v>183</v>
      </c>
      <c r="C53" s="9" t="s">
        <v>190</v>
      </c>
      <c r="D53" s="73" t="s">
        <v>527</v>
      </c>
      <c r="E53" s="73" t="s">
        <v>185</v>
      </c>
      <c r="F53" s="73">
        <v>0.1537053666</v>
      </c>
      <c r="G53" s="74"/>
      <c r="H53" s="74"/>
      <c r="I53" s="75"/>
      <c r="J53" s="74">
        <v>7746817875.6800003</v>
      </c>
      <c r="K53" s="76"/>
      <c r="L53" s="75">
        <v>6572371489.2299995</v>
      </c>
      <c r="M53" s="76"/>
      <c r="N53" s="75"/>
      <c r="O53" s="77"/>
      <c r="P53" s="75"/>
      <c r="Q53" s="77"/>
      <c r="R53" s="75"/>
      <c r="S53" s="76"/>
      <c r="T53" s="75"/>
      <c r="U53" s="75"/>
      <c r="V53" s="75"/>
      <c r="W53" s="75"/>
      <c r="X53" s="75"/>
      <c r="Y53" s="75"/>
      <c r="Z53" s="75"/>
      <c r="AA53" s="75"/>
      <c r="AB53" s="75"/>
      <c r="AC53" s="75"/>
      <c r="AD53" s="75">
        <v>565995823.91999996</v>
      </c>
      <c r="AE53" s="77"/>
      <c r="AF53" s="75"/>
      <c r="AG53" s="75"/>
      <c r="AH53" s="75">
        <v>5442282964.2200003</v>
      </c>
      <c r="AI53" s="75"/>
      <c r="AJ53" s="82">
        <v>261560087.99000001</v>
      </c>
      <c r="AK53" s="76"/>
      <c r="AL53" s="82">
        <v>279824100.06</v>
      </c>
      <c r="AM53" s="76"/>
      <c r="AN53" s="75">
        <v>2084537011.3199999</v>
      </c>
      <c r="AO53" s="76"/>
      <c r="AP53" s="75">
        <v>7538</v>
      </c>
      <c r="AQ53" s="75"/>
      <c r="AR53" s="77"/>
      <c r="AS53" s="75"/>
      <c r="AT53" s="75">
        <v>1528127620.5</v>
      </c>
      <c r="AU53" s="77"/>
      <c r="AV53" s="78">
        <v>1161928946.1600001</v>
      </c>
      <c r="AW53" s="79"/>
      <c r="AX53" s="138">
        <v>27064961458.48</v>
      </c>
      <c r="AY53" s="80"/>
      <c r="AZ53" s="124">
        <f>(AX53+22519539139.17)/2</f>
        <v>24792250298.824997</v>
      </c>
      <c r="BA53" s="124">
        <v>9772028692.9400005</v>
      </c>
      <c r="BB53" s="124">
        <v>3119314301.6100001</v>
      </c>
      <c r="BC53"/>
    </row>
    <row r="54" spans="1:55" x14ac:dyDescent="0.25">
      <c r="A54" s="8" t="s">
        <v>182</v>
      </c>
      <c r="B54" s="8" t="s">
        <v>183</v>
      </c>
      <c r="C54" s="18" t="s">
        <v>191</v>
      </c>
      <c r="D54" s="73" t="s">
        <v>83</v>
      </c>
      <c r="E54" s="73" t="s">
        <v>185</v>
      </c>
      <c r="F54" s="73">
        <v>0.1537053666</v>
      </c>
      <c r="G54" s="74">
        <v>24770000</v>
      </c>
      <c r="H54" s="74"/>
      <c r="I54" s="75"/>
      <c r="J54" s="74">
        <v>1693761519.9100001</v>
      </c>
      <c r="K54" s="76">
        <f t="shared" si="12"/>
        <v>260340235.35073978</v>
      </c>
      <c r="L54" s="75"/>
      <c r="M54" s="76"/>
      <c r="N54" s="75"/>
      <c r="O54" s="77"/>
      <c r="P54" s="75"/>
      <c r="Q54" s="77"/>
      <c r="R54" s="75"/>
      <c r="S54" s="76"/>
      <c r="T54" s="75"/>
      <c r="U54" s="75"/>
      <c r="V54" s="75"/>
      <c r="W54" s="75"/>
      <c r="X54" s="75"/>
      <c r="Y54" s="75"/>
      <c r="Z54" s="75"/>
      <c r="AA54" s="75"/>
      <c r="AB54" s="75"/>
      <c r="AC54" s="75"/>
      <c r="AD54" s="75"/>
      <c r="AE54" s="75"/>
      <c r="AF54" s="75"/>
      <c r="AG54" s="75"/>
      <c r="AH54" s="75">
        <v>1685615756.6900001</v>
      </c>
      <c r="AI54" s="75"/>
      <c r="AJ54" s="82"/>
      <c r="AK54" s="76"/>
      <c r="AL54" s="82"/>
      <c r="AM54" s="76"/>
      <c r="AN54" s="75"/>
      <c r="AO54" s="75"/>
      <c r="AP54" s="75"/>
      <c r="AQ54" s="75"/>
      <c r="AR54" s="77"/>
      <c r="AS54" s="75"/>
      <c r="AT54" s="75">
        <v>68567977.159999996</v>
      </c>
      <c r="AU54" s="75"/>
      <c r="AV54" s="78">
        <v>19340443</v>
      </c>
      <c r="AW54" s="79">
        <f t="shared" ref="AW54:AW63" si="13">AV54*F54</f>
        <v>2972729.8815214038</v>
      </c>
      <c r="AX54" s="138">
        <v>13445456242.17</v>
      </c>
      <c r="AY54" s="80">
        <f>AX54*F54</f>
        <v>2066638780.8069983</v>
      </c>
      <c r="AZ54" s="124">
        <f>(AX54+12655392216)/2</f>
        <v>13050424229.084999</v>
      </c>
      <c r="BA54" s="124">
        <v>1123851190</v>
      </c>
      <c r="BB54" s="124">
        <v>525071253.06</v>
      </c>
      <c r="BC54"/>
    </row>
    <row r="55" spans="1:55" x14ac:dyDescent="0.25">
      <c r="A55" s="8" t="s">
        <v>182</v>
      </c>
      <c r="B55" s="8" t="s">
        <v>183</v>
      </c>
      <c r="C55" s="9" t="s">
        <v>546</v>
      </c>
      <c r="D55" s="73" t="s">
        <v>527</v>
      </c>
      <c r="E55" s="73" t="s">
        <v>185</v>
      </c>
      <c r="F55" s="73">
        <v>0.1537053666</v>
      </c>
      <c r="G55" s="74">
        <f>2412.36*10000</f>
        <v>24123600</v>
      </c>
      <c r="H55" s="74"/>
      <c r="I55" s="75">
        <v>165186</v>
      </c>
      <c r="J55" s="74">
        <v>1703824000</v>
      </c>
      <c r="K55" s="76">
        <f t="shared" si="12"/>
        <v>261886892.5418784</v>
      </c>
      <c r="L55" s="75">
        <v>915055718</v>
      </c>
      <c r="M55" s="76"/>
      <c r="N55" s="75">
        <v>345919512</v>
      </c>
      <c r="O55" s="77"/>
      <c r="P55" s="75">
        <v>128267182</v>
      </c>
      <c r="Q55" s="77"/>
      <c r="R55" s="75">
        <v>788768611</v>
      </c>
      <c r="S55" s="76"/>
      <c r="T55" s="75">
        <v>417190686</v>
      </c>
      <c r="U55" s="75"/>
      <c r="V55" s="84"/>
      <c r="W55" s="75"/>
      <c r="X55" s="75"/>
      <c r="Y55" s="75"/>
      <c r="Z55" s="75"/>
      <c r="AA55" s="75"/>
      <c r="AB55" s="75"/>
      <c r="AC55" s="75"/>
      <c r="AD55" s="75">
        <v>93171772</v>
      </c>
      <c r="AE55" s="75"/>
      <c r="AF55" s="75">
        <v>26801790</v>
      </c>
      <c r="AG55" s="76"/>
      <c r="AH55" s="75">
        <f>J55-AT55</f>
        <v>880907584</v>
      </c>
      <c r="AI55" s="75"/>
      <c r="AJ55" s="82"/>
      <c r="AK55" s="76"/>
      <c r="AL55" s="82"/>
      <c r="AM55" s="76"/>
      <c r="AN55" s="75"/>
      <c r="AO55" s="76"/>
      <c r="AP55" s="75"/>
      <c r="AQ55" s="75">
        <v>1143377000</v>
      </c>
      <c r="AR55" s="77"/>
      <c r="AS55" s="75"/>
      <c r="AT55" s="75">
        <v>822916416</v>
      </c>
      <c r="AU55" s="77"/>
      <c r="AV55" s="75">
        <v>622041000</v>
      </c>
      <c r="AW55" s="79">
        <f t="shared" si="13"/>
        <v>95611039.945230603</v>
      </c>
      <c r="AX55" s="124">
        <v>8866140984</v>
      </c>
      <c r="AY55" s="80">
        <f>AX55*F55</f>
        <v>1362773450.2730048</v>
      </c>
      <c r="AZ55" s="124">
        <f>(AX55+9078150466)/2</f>
        <v>8972145725</v>
      </c>
      <c r="BA55" s="124">
        <v>3663326227</v>
      </c>
      <c r="BB55" s="124">
        <v>1225110000</v>
      </c>
      <c r="BC55"/>
    </row>
    <row r="56" spans="1:55" x14ac:dyDescent="0.25">
      <c r="A56" s="8" t="s">
        <v>182</v>
      </c>
      <c r="B56" s="8" t="s">
        <v>183</v>
      </c>
      <c r="C56" s="18" t="s">
        <v>192</v>
      </c>
      <c r="D56" s="73" t="s">
        <v>527</v>
      </c>
      <c r="E56" s="73" t="s">
        <v>185</v>
      </c>
      <c r="F56" s="73">
        <v>0.1537053666</v>
      </c>
      <c r="G56" s="74"/>
      <c r="H56" s="130"/>
      <c r="I56" s="75"/>
      <c r="J56" s="74">
        <v>2159390041</v>
      </c>
      <c r="K56" s="76">
        <f t="shared" si="12"/>
        <v>331909837.88429403</v>
      </c>
      <c r="L56" s="75"/>
      <c r="M56" s="76"/>
      <c r="N56" s="75"/>
      <c r="O56" s="77"/>
      <c r="P56" s="75"/>
      <c r="Q56" s="77"/>
      <c r="R56" s="75"/>
      <c r="S56" s="76"/>
      <c r="T56" s="75"/>
      <c r="U56" s="75"/>
      <c r="V56" s="75"/>
      <c r="W56" s="75"/>
      <c r="X56" s="75"/>
      <c r="Y56" s="75"/>
      <c r="Z56" s="75">
        <v>4797454.4000000004</v>
      </c>
      <c r="AA56" s="75"/>
      <c r="AB56" s="75"/>
      <c r="AC56" s="75"/>
      <c r="AD56" s="75"/>
      <c r="AE56" s="75"/>
      <c r="AF56" s="75"/>
      <c r="AG56" s="75"/>
      <c r="AH56" s="75">
        <v>1970709294</v>
      </c>
      <c r="AI56" s="75"/>
      <c r="AJ56" s="82"/>
      <c r="AK56" s="76"/>
      <c r="AL56" s="82">
        <f>4140910.49</f>
        <v>4140910.49</v>
      </c>
      <c r="AM56" s="76"/>
      <c r="AN56" s="75">
        <f>4229494.3+91589877.4</f>
        <v>95819371.700000003</v>
      </c>
      <c r="AO56" s="76"/>
      <c r="AP56" s="75"/>
      <c r="AQ56" s="75"/>
      <c r="AR56" s="77"/>
      <c r="AS56" s="75"/>
      <c r="AT56" s="75">
        <v>206209446.16</v>
      </c>
      <c r="AU56" s="75"/>
      <c r="AV56" s="78">
        <v>176119844.25</v>
      </c>
      <c r="AW56" s="79">
        <f t="shared" si="13"/>
        <v>27070565.225981154</v>
      </c>
      <c r="AX56" s="124">
        <v>6152286892.1499996</v>
      </c>
      <c r="AY56" s="116">
        <f>(AX56+6357498078.014)/2</f>
        <v>6254892485.0819998</v>
      </c>
      <c r="AZ56" s="124">
        <v>6152286892.1499996</v>
      </c>
      <c r="BA56" s="124">
        <v>1214331484.3900001</v>
      </c>
      <c r="BB56" s="124">
        <v>667013317.63</v>
      </c>
      <c r="BC56"/>
    </row>
    <row r="57" spans="1:55" x14ac:dyDescent="0.25">
      <c r="A57" s="8" t="s">
        <v>182</v>
      </c>
      <c r="B57" s="8" t="s">
        <v>183</v>
      </c>
      <c r="C57" s="9" t="s">
        <v>193</v>
      </c>
      <c r="D57" s="73" t="s">
        <v>527</v>
      </c>
      <c r="E57" s="73" t="s">
        <v>185</v>
      </c>
      <c r="F57" s="73">
        <v>0.1537053666</v>
      </c>
      <c r="G57" s="74">
        <v>100983290</v>
      </c>
      <c r="H57" s="74"/>
      <c r="I57" s="75">
        <v>614022</v>
      </c>
      <c r="J57" s="74">
        <v>11262512000</v>
      </c>
      <c r="K57" s="76">
        <f t="shared" si="12"/>
        <v>1731108535.7968993</v>
      </c>
      <c r="L57" s="75">
        <v>5309408000</v>
      </c>
      <c r="M57" s="76"/>
      <c r="N57" s="75">
        <v>2027707000</v>
      </c>
      <c r="O57" s="77"/>
      <c r="P57" s="75">
        <v>2109536000</v>
      </c>
      <c r="Q57" s="77"/>
      <c r="R57" s="75">
        <v>5953104000</v>
      </c>
      <c r="S57" s="76"/>
      <c r="T57" s="75"/>
      <c r="U57" s="75"/>
      <c r="V57" s="75"/>
      <c r="W57" s="75"/>
      <c r="X57" s="75">
        <v>2774187000</v>
      </c>
      <c r="Y57" s="77"/>
      <c r="Z57" s="75">
        <v>271263000</v>
      </c>
      <c r="AA57" s="77"/>
      <c r="AB57" s="75">
        <f>X57+Z57</f>
        <v>3045450000</v>
      </c>
      <c r="AC57" s="77"/>
      <c r="AD57" s="75">
        <v>1148177000</v>
      </c>
      <c r="AE57" s="77"/>
      <c r="AF57" s="75">
        <v>169896000</v>
      </c>
      <c r="AG57" s="76"/>
      <c r="AH57" s="75">
        <v>7223392000</v>
      </c>
      <c r="AI57" s="75"/>
      <c r="AJ57" s="82">
        <v>657959000</v>
      </c>
      <c r="AK57" s="76"/>
      <c r="AL57" s="82">
        <v>1036451000</v>
      </c>
      <c r="AM57" s="76"/>
      <c r="AN57" s="75">
        <v>701468000</v>
      </c>
      <c r="AO57" s="76"/>
      <c r="AP57" s="75">
        <v>1613</v>
      </c>
      <c r="AQ57" s="75">
        <v>5375970000</v>
      </c>
      <c r="AR57" s="77"/>
      <c r="AS57" s="75"/>
      <c r="AT57" s="75"/>
      <c r="AU57" s="77"/>
      <c r="AV57" s="78">
        <v>2872055000</v>
      </c>
      <c r="AW57" s="79">
        <f t="shared" si="13"/>
        <v>441450266.67036301</v>
      </c>
      <c r="AX57" s="124">
        <v>34698109000</v>
      </c>
      <c r="AY57" s="80">
        <f>AX57*F57</f>
        <v>5333285564.1717596</v>
      </c>
      <c r="AZ57" s="124">
        <f>(AX57+30637258000)/2</f>
        <v>32667683500</v>
      </c>
      <c r="BA57" s="124">
        <v>9334060000</v>
      </c>
      <c r="BB57" s="124">
        <v>4690248000</v>
      </c>
      <c r="BC57" s="21"/>
    </row>
    <row r="58" spans="1:55" x14ac:dyDescent="0.25">
      <c r="A58" s="8" t="s">
        <v>182</v>
      </c>
      <c r="B58" s="8" t="s">
        <v>183</v>
      </c>
      <c r="C58" s="18" t="s">
        <v>194</v>
      </c>
      <c r="D58" s="73" t="s">
        <v>527</v>
      </c>
      <c r="E58" s="73" t="s">
        <v>185</v>
      </c>
      <c r="F58" s="73">
        <v>0.1537053666</v>
      </c>
      <c r="G58" s="74"/>
      <c r="H58" s="74"/>
      <c r="I58" s="75"/>
      <c r="J58" s="74">
        <v>2430164305</v>
      </c>
      <c r="K58" s="76">
        <f t="shared" si="12"/>
        <v>373529295.39825922</v>
      </c>
      <c r="L58" s="75"/>
      <c r="M58" s="76"/>
      <c r="N58" s="75"/>
      <c r="O58" s="77"/>
      <c r="P58" s="75"/>
      <c r="Q58" s="77"/>
      <c r="R58" s="75"/>
      <c r="S58" s="76"/>
      <c r="T58" s="75"/>
      <c r="U58" s="75"/>
      <c r="V58" s="75"/>
      <c r="W58" s="75"/>
      <c r="X58" s="75"/>
      <c r="Y58" s="75"/>
      <c r="Z58" s="75">
        <v>16474837.83</v>
      </c>
      <c r="AA58" s="75"/>
      <c r="AB58" s="75"/>
      <c r="AC58" s="77"/>
      <c r="AD58" s="75">
        <v>19256595.16</v>
      </c>
      <c r="AE58" s="77"/>
      <c r="AF58" s="75"/>
      <c r="AG58" s="75"/>
      <c r="AH58" s="75">
        <v>2694252995.8200002</v>
      </c>
      <c r="AI58" s="75"/>
      <c r="AJ58" s="82"/>
      <c r="AK58" s="76"/>
      <c r="AL58" s="82"/>
      <c r="AM58" s="76"/>
      <c r="AN58" s="75">
        <f>8583151.25+226561676.33</f>
        <v>235144827.58000001</v>
      </c>
      <c r="AO58" s="76"/>
      <c r="AP58" s="75"/>
      <c r="AQ58" s="75"/>
      <c r="AR58" s="77"/>
      <c r="AS58" s="75"/>
      <c r="AT58" s="78">
        <v>11657559.84</v>
      </c>
      <c r="AU58" s="77"/>
      <c r="AV58" s="78">
        <v>-35023672.549999997</v>
      </c>
      <c r="AW58" s="79">
        <f t="shared" si="13"/>
        <v>-5383326.4289761065</v>
      </c>
      <c r="AX58" s="124">
        <v>20874058827</v>
      </c>
      <c r="AY58" s="80"/>
      <c r="AZ58" s="124">
        <f>(AX58+18628362375.16)/2</f>
        <v>19751210601.080002</v>
      </c>
      <c r="BA58" s="124">
        <v>1775317870.8699999</v>
      </c>
      <c r="BB58" s="124">
        <v>3160349059</v>
      </c>
      <c r="BC58" s="21"/>
    </row>
    <row r="59" spans="1:55" x14ac:dyDescent="0.25">
      <c r="A59" s="8" t="s">
        <v>182</v>
      </c>
      <c r="B59" s="8" t="s">
        <v>183</v>
      </c>
      <c r="C59" s="18" t="s">
        <v>195</v>
      </c>
      <c r="D59" s="73" t="s">
        <v>527</v>
      </c>
      <c r="E59" s="73" t="s">
        <v>110</v>
      </c>
      <c r="F59" s="73">
        <v>1.1998614888000001</v>
      </c>
      <c r="G59" s="74">
        <v>44653433</v>
      </c>
      <c r="H59" s="74"/>
      <c r="I59" s="75">
        <v>329783</v>
      </c>
      <c r="J59" s="74">
        <v>255900000</v>
      </c>
      <c r="K59" s="76">
        <f t="shared" si="12"/>
        <v>307044554.98392004</v>
      </c>
      <c r="L59" s="75"/>
      <c r="M59" s="76"/>
      <c r="N59" s="75"/>
      <c r="O59" s="77"/>
      <c r="P59" s="75"/>
      <c r="Q59" s="77">
        <f t="shared" ref="Q59:Q111" si="14">P59*F59</f>
        <v>0</v>
      </c>
      <c r="R59" s="75"/>
      <c r="S59" s="76">
        <f t="shared" ref="S59:S111" si="15">R59*F59</f>
        <v>0</v>
      </c>
      <c r="T59" s="75"/>
      <c r="U59" s="75"/>
      <c r="V59" s="75"/>
      <c r="W59" s="75"/>
      <c r="X59" s="75"/>
      <c r="Y59" s="75"/>
      <c r="Z59" s="75"/>
      <c r="AA59" s="75"/>
      <c r="AB59" s="75"/>
      <c r="AC59" s="77"/>
      <c r="AD59" s="75"/>
      <c r="AE59" s="75"/>
      <c r="AF59" s="75"/>
      <c r="AG59" s="75"/>
      <c r="AH59" s="75"/>
      <c r="AI59" s="75"/>
      <c r="AJ59" s="82"/>
      <c r="AK59" s="76"/>
      <c r="AL59" s="82"/>
      <c r="AM59" s="76"/>
      <c r="AN59" s="75"/>
      <c r="AO59" s="76"/>
      <c r="AP59" s="75"/>
      <c r="AQ59" s="75">
        <v>91500000</v>
      </c>
      <c r="AR59" s="77">
        <f>AQ59*F59</f>
        <v>109787326.22520001</v>
      </c>
      <c r="AS59" s="75"/>
      <c r="AT59" s="78"/>
      <c r="AU59" s="77"/>
      <c r="AV59" s="78">
        <v>40600000</v>
      </c>
      <c r="AW59" s="79">
        <f t="shared" si="13"/>
        <v>48714376.445280001</v>
      </c>
      <c r="AX59" s="124">
        <f>(719.9+88.5)*1000000</f>
        <v>808400000</v>
      </c>
      <c r="AY59" s="80"/>
      <c r="AZ59" s="124">
        <f>(AX59+(732+97.9)*1000000)/2</f>
        <v>819150000</v>
      </c>
      <c r="BA59" s="124">
        <v>71300000</v>
      </c>
      <c r="BB59" s="124"/>
      <c r="BC59" s="21"/>
    </row>
    <row r="60" spans="1:55" x14ac:dyDescent="0.25">
      <c r="A60" s="8" t="s">
        <v>182</v>
      </c>
      <c r="B60" s="8" t="s">
        <v>183</v>
      </c>
      <c r="C60" s="18" t="s">
        <v>196</v>
      </c>
      <c r="D60" s="73" t="s">
        <v>527</v>
      </c>
      <c r="E60" s="73" t="s">
        <v>185</v>
      </c>
      <c r="F60" s="73">
        <v>0.1537053666</v>
      </c>
      <c r="G60" s="74"/>
      <c r="H60" s="74"/>
      <c r="I60" s="75"/>
      <c r="J60" s="74">
        <f>2706250646.5</f>
        <v>2706250646.5</v>
      </c>
      <c r="K60" s="76">
        <f t="shared" si="12"/>
        <v>415965247.7317695</v>
      </c>
      <c r="L60" s="75"/>
      <c r="M60" s="76"/>
      <c r="N60" s="75"/>
      <c r="O60" s="77"/>
      <c r="P60" s="75"/>
      <c r="Q60" s="77"/>
      <c r="R60" s="75"/>
      <c r="S60" s="76"/>
      <c r="T60" s="75"/>
      <c r="U60" s="75"/>
      <c r="V60" s="75">
        <v>34285714.229999997</v>
      </c>
      <c r="W60" s="75"/>
      <c r="X60" s="75"/>
      <c r="Y60" s="75"/>
      <c r="Z60" s="75"/>
      <c r="AA60" s="75"/>
      <c r="AB60" s="75"/>
      <c r="AC60" s="77"/>
      <c r="AD60" s="75"/>
      <c r="AE60" s="75"/>
      <c r="AF60" s="75"/>
      <c r="AG60" s="75"/>
      <c r="AH60" s="75">
        <v>4117797576</v>
      </c>
      <c r="AI60" s="75"/>
      <c r="AJ60" s="82"/>
      <c r="AK60" s="76"/>
      <c r="AL60" s="82">
        <v>8766150.3599999994</v>
      </c>
      <c r="AM60" s="76"/>
      <c r="AN60" s="75">
        <v>152464475.5</v>
      </c>
      <c r="AO60" s="76"/>
      <c r="AP60" s="75"/>
      <c r="AQ60" s="75"/>
      <c r="AR60" s="77"/>
      <c r="AS60" s="75"/>
      <c r="AT60" s="78">
        <f>-1373837403.69</f>
        <v>-1373837403.6900001</v>
      </c>
      <c r="AU60" s="77"/>
      <c r="AV60" s="78">
        <v>-1560573078</v>
      </c>
      <c r="AW60" s="79">
        <f t="shared" si="13"/>
        <v>-239868457.06008041</v>
      </c>
      <c r="AX60" s="125">
        <f>34687887896</f>
        <v>34687887896</v>
      </c>
      <c r="AY60" s="80">
        <f>AX60*F60</f>
        <v>5331714525.6343832</v>
      </c>
      <c r="AZ60" s="124" t="s">
        <v>0</v>
      </c>
      <c r="BA60" s="124">
        <v>1924000000</v>
      </c>
      <c r="BB60" s="124">
        <v>991543944.72000003</v>
      </c>
      <c r="BC60" s="21"/>
    </row>
    <row r="61" spans="1:55" x14ac:dyDescent="0.25">
      <c r="A61" s="8" t="s">
        <v>182</v>
      </c>
      <c r="B61" s="8" t="s">
        <v>197</v>
      </c>
      <c r="C61" s="9" t="s">
        <v>198</v>
      </c>
      <c r="D61" s="8" t="s">
        <v>199</v>
      </c>
      <c r="E61" s="8" t="s">
        <v>200</v>
      </c>
      <c r="F61" s="8">
        <v>0.12748311479999999</v>
      </c>
      <c r="G61" s="10">
        <v>73600000</v>
      </c>
      <c r="H61" s="10"/>
      <c r="I61" s="12">
        <v>423000</v>
      </c>
      <c r="J61" s="10">
        <v>21994000000</v>
      </c>
      <c r="K61" s="11">
        <f t="shared" si="12"/>
        <v>2803863626.9112</v>
      </c>
      <c r="L61" s="12">
        <v>6645000000</v>
      </c>
      <c r="M61" s="11">
        <f>F61*L61</f>
        <v>847125297.84599996</v>
      </c>
      <c r="N61" s="12"/>
      <c r="O61" s="13"/>
      <c r="P61" s="12"/>
      <c r="Q61" s="13">
        <f t="shared" si="14"/>
        <v>0</v>
      </c>
      <c r="R61" s="12">
        <f>J61-L61</f>
        <v>15349000000</v>
      </c>
      <c r="S61" s="11">
        <f t="shared" si="15"/>
        <v>1956738329.0651999</v>
      </c>
      <c r="T61" s="12">
        <v>7909000000</v>
      </c>
      <c r="U61" s="12"/>
      <c r="V61" s="12"/>
      <c r="W61" s="12"/>
      <c r="X61" s="12"/>
      <c r="Y61" s="12"/>
      <c r="Z61" s="12"/>
      <c r="AA61" s="12"/>
      <c r="AB61" s="12"/>
      <c r="AC61" s="13"/>
      <c r="AD61" s="12"/>
      <c r="AE61" s="12"/>
      <c r="AF61" s="12"/>
      <c r="AG61" s="12"/>
      <c r="AH61" s="10">
        <f>6058000000+3097000000</f>
        <v>9155000000</v>
      </c>
      <c r="AI61" s="10"/>
      <c r="AJ61" s="14"/>
      <c r="AK61" s="11"/>
      <c r="AL61" s="14">
        <v>834000000</v>
      </c>
      <c r="AM61" s="11">
        <f>AL61*F61</f>
        <v>106320917.74319999</v>
      </c>
      <c r="AN61" s="12">
        <v>2492000000</v>
      </c>
      <c r="AO61" s="11">
        <f>AN61*F61</f>
        <v>317687922.08159995</v>
      </c>
      <c r="AP61" s="12">
        <v>2314</v>
      </c>
      <c r="AQ61" s="12">
        <v>15963000000</v>
      </c>
      <c r="AR61" s="13">
        <f>AQ61*F61</f>
        <v>2035012961.5523999</v>
      </c>
      <c r="AS61" s="12">
        <v>3097000000</v>
      </c>
      <c r="AT61" s="12">
        <f>J61-AH61</f>
        <v>12839000000</v>
      </c>
      <c r="AU61" s="13">
        <f>AT61*F61</f>
        <v>1636755710.9171999</v>
      </c>
      <c r="AV61" s="15">
        <v>11486000000</v>
      </c>
      <c r="AW61" s="16">
        <f t="shared" si="13"/>
        <v>1464271056.5927999</v>
      </c>
      <c r="AX61" s="119">
        <v>88930000000</v>
      </c>
      <c r="AY61" s="17">
        <f>AX61*F61</f>
        <v>11337073399.164</v>
      </c>
      <c r="AZ61" s="119">
        <f>(AX61+74320000000)/2</f>
        <v>81625000000</v>
      </c>
      <c r="BA61" s="119">
        <v>8652000000</v>
      </c>
      <c r="BB61" s="119">
        <v>12274000000</v>
      </c>
      <c r="BC61"/>
    </row>
    <row r="62" spans="1:55" x14ac:dyDescent="0.25">
      <c r="A62" s="8" t="s">
        <v>182</v>
      </c>
      <c r="B62" s="8" t="s">
        <v>201</v>
      </c>
      <c r="C62" s="18" t="s">
        <v>202</v>
      </c>
      <c r="D62" s="8" t="s">
        <v>83</v>
      </c>
      <c r="E62" s="8" t="s">
        <v>203</v>
      </c>
      <c r="F62" s="8">
        <v>0.12428295020000001</v>
      </c>
      <c r="G62" s="10">
        <v>7380000</v>
      </c>
      <c r="H62" s="10"/>
      <c r="I62" s="12">
        <v>60000</v>
      </c>
      <c r="J62" s="10">
        <f>14.06*100000000</f>
        <v>1406000000</v>
      </c>
      <c r="K62" s="11">
        <f t="shared" si="12"/>
        <v>174741827.98120001</v>
      </c>
      <c r="L62" s="12">
        <f>6.02*100000000</f>
        <v>602000000</v>
      </c>
      <c r="M62" s="11">
        <f>F62*L62</f>
        <v>74818336.020400003</v>
      </c>
      <c r="N62" s="12"/>
      <c r="O62" s="13"/>
      <c r="P62" s="12"/>
      <c r="Q62" s="13">
        <f t="shared" si="14"/>
        <v>0</v>
      </c>
      <c r="R62" s="12">
        <f>J62-L62</f>
        <v>804000000</v>
      </c>
      <c r="S62" s="11">
        <f t="shared" si="15"/>
        <v>99923491.960800007</v>
      </c>
      <c r="T62" s="12"/>
      <c r="U62" s="12"/>
      <c r="V62" s="12"/>
      <c r="W62" s="12"/>
      <c r="X62" s="12"/>
      <c r="Y62" s="12"/>
      <c r="Z62" s="28"/>
      <c r="AA62" s="28"/>
      <c r="AB62" s="12"/>
      <c r="AC62" s="13"/>
      <c r="AD62" s="12"/>
      <c r="AE62" s="12"/>
      <c r="AF62" s="12"/>
      <c r="AG62" s="12"/>
      <c r="AH62" s="12"/>
      <c r="AI62" s="12"/>
      <c r="AJ62" s="15"/>
      <c r="AK62" s="12"/>
      <c r="AL62" s="15"/>
      <c r="AM62" s="12">
        <f>AL62*F62</f>
        <v>0</v>
      </c>
      <c r="AN62" s="12"/>
      <c r="AO62" s="12"/>
      <c r="AP62" s="12"/>
      <c r="AQ62" s="12"/>
      <c r="AR62" s="13"/>
      <c r="AS62" s="12"/>
      <c r="AT62" s="12"/>
      <c r="AU62" s="12"/>
      <c r="AV62" s="15">
        <v>354000000</v>
      </c>
      <c r="AW62" s="16">
        <f t="shared" si="13"/>
        <v>43996164.370800003</v>
      </c>
      <c r="AX62" s="119"/>
      <c r="AY62" s="17"/>
      <c r="AZ62" s="119"/>
      <c r="BA62" s="119"/>
      <c r="BB62" s="119"/>
      <c r="BC62"/>
    </row>
    <row r="63" spans="1:55" x14ac:dyDescent="0.25">
      <c r="A63" s="8" t="s">
        <v>182</v>
      </c>
      <c r="B63" s="8" t="s">
        <v>204</v>
      </c>
      <c r="C63" s="9" t="s">
        <v>205</v>
      </c>
      <c r="D63" s="73" t="s">
        <v>527</v>
      </c>
      <c r="E63" s="73" t="s">
        <v>206</v>
      </c>
      <c r="F63" s="73">
        <v>3.0839925399999999E-2</v>
      </c>
      <c r="G63" s="74"/>
      <c r="H63" s="74"/>
      <c r="I63" s="75"/>
      <c r="J63" s="74">
        <v>21721377787</v>
      </c>
      <c r="K63" s="76"/>
      <c r="L63" s="75">
        <v>11608889104</v>
      </c>
      <c r="M63" s="76"/>
      <c r="N63" s="75"/>
      <c r="O63" s="77"/>
      <c r="P63" s="75"/>
      <c r="Q63" s="77"/>
      <c r="R63" s="75">
        <v>10112488683</v>
      </c>
      <c r="S63" s="76"/>
      <c r="T63" s="75"/>
      <c r="U63" s="75"/>
      <c r="V63" s="84"/>
      <c r="W63" s="75"/>
      <c r="X63" s="75"/>
      <c r="Y63" s="75"/>
      <c r="Z63" s="75"/>
      <c r="AA63" s="75"/>
      <c r="AB63" s="75"/>
      <c r="AC63" s="77"/>
      <c r="AD63" s="75"/>
      <c r="AE63" s="77"/>
      <c r="AF63" s="75"/>
      <c r="AG63" s="76"/>
      <c r="AH63" s="75">
        <f>11069653954+1676410333</f>
        <v>12746064287</v>
      </c>
      <c r="AI63" s="75"/>
      <c r="AJ63" s="82"/>
      <c r="AK63" s="76"/>
      <c r="AL63" s="82"/>
      <c r="AM63" s="76"/>
      <c r="AN63" s="85"/>
      <c r="AO63" s="76"/>
      <c r="AP63" s="75"/>
      <c r="AQ63" s="75"/>
      <c r="AR63" s="77"/>
      <c r="AS63" s="75"/>
      <c r="AT63" s="75">
        <v>8975313500</v>
      </c>
      <c r="AU63" s="77"/>
      <c r="AV63" s="78">
        <v>7266928061</v>
      </c>
      <c r="AW63" s="79">
        <f t="shared" si="13"/>
        <v>224111519.28840664</v>
      </c>
      <c r="AX63" s="124">
        <v>49290161279.400002</v>
      </c>
      <c r="AY63" s="80"/>
      <c r="AZ63" s="124">
        <f>(AX63+44521021731)/2</f>
        <v>46905591505.199997</v>
      </c>
      <c r="BA63" s="124"/>
      <c r="BB63" s="124"/>
      <c r="BC63"/>
    </row>
    <row r="64" spans="1:55" ht="17.25" customHeight="1" x14ac:dyDescent="0.25">
      <c r="A64" s="8" t="s">
        <v>182</v>
      </c>
      <c r="B64" s="8" t="s">
        <v>204</v>
      </c>
      <c r="C64" t="s">
        <v>207</v>
      </c>
      <c r="D64" s="8" t="s">
        <v>113</v>
      </c>
      <c r="E64" s="8" t="s">
        <v>206</v>
      </c>
      <c r="F64" s="8">
        <v>3.0419176199999998E-2</v>
      </c>
      <c r="G64" s="10">
        <v>6001487</v>
      </c>
      <c r="H64" s="10"/>
      <c r="I64" s="12">
        <v>52934</v>
      </c>
      <c r="J64" s="10">
        <v>2124000000</v>
      </c>
      <c r="K64" s="11">
        <f t="shared" si="12"/>
        <v>64610330.248799995</v>
      </c>
      <c r="M64" s="11"/>
      <c r="N64" s="12">
        <v>484000000</v>
      </c>
      <c r="O64" s="13">
        <f>N64*F64</f>
        <v>14722881.2808</v>
      </c>
      <c r="P64" s="12">
        <v>344000000</v>
      </c>
      <c r="Q64" s="13">
        <f t="shared" si="14"/>
        <v>10464196.6128</v>
      </c>
      <c r="R64" s="12">
        <f>(7.5+826+247+1)*1000000</f>
        <v>1081500000</v>
      </c>
      <c r="S64" s="11">
        <f t="shared" si="15"/>
        <v>32898339.0603</v>
      </c>
      <c r="T64" s="12"/>
      <c r="U64" s="12"/>
      <c r="V64" s="12"/>
      <c r="W64" s="12"/>
      <c r="X64" s="12"/>
      <c r="Y64" s="12"/>
      <c r="Z64" s="12"/>
      <c r="AA64" s="12"/>
      <c r="AB64" s="12"/>
      <c r="AC64" s="13"/>
      <c r="AD64" s="12"/>
      <c r="AE64" s="12"/>
      <c r="AF64" s="12">
        <v>7500000</v>
      </c>
      <c r="AG64" s="11">
        <f>AF64*F64</f>
        <v>228143.82149999999</v>
      </c>
      <c r="AH64" s="12">
        <v>716992000</v>
      </c>
      <c r="AI64" s="12"/>
      <c r="AJ64" s="14"/>
      <c r="AK64" s="11"/>
      <c r="AL64" s="14"/>
      <c r="AM64" s="11"/>
      <c r="AN64" s="12">
        <f>(141406+12073+30619+6290)*1000</f>
        <v>190388000</v>
      </c>
      <c r="AO64" s="11">
        <f>AN64*F64</f>
        <v>5791446.1183655998</v>
      </c>
      <c r="AP64" s="12"/>
      <c r="AQ64" s="12"/>
      <c r="AR64" s="13"/>
      <c r="AS64" s="12"/>
      <c r="AT64" s="12">
        <f>J64-AH64</f>
        <v>1407008000</v>
      </c>
      <c r="AU64" s="13">
        <f>AT64*F64</f>
        <v>42800024.266809598</v>
      </c>
      <c r="AV64" s="15"/>
      <c r="AW64" s="16"/>
      <c r="AX64" s="121"/>
      <c r="AY64" s="17"/>
      <c r="AZ64" s="119"/>
      <c r="BA64" s="119"/>
      <c r="BB64" s="119"/>
      <c r="BC64"/>
    </row>
    <row r="65" spans="1:55" x14ac:dyDescent="0.25">
      <c r="A65" s="8" t="s">
        <v>182</v>
      </c>
      <c r="B65" s="8" t="s">
        <v>204</v>
      </c>
      <c r="C65" s="18" t="s">
        <v>208</v>
      </c>
      <c r="D65" s="8" t="s">
        <v>83</v>
      </c>
      <c r="E65" s="8" t="s">
        <v>206</v>
      </c>
      <c r="F65" s="8">
        <v>3.3662034299999997E-2</v>
      </c>
      <c r="G65" s="10">
        <v>5943153</v>
      </c>
      <c r="H65" s="10"/>
      <c r="I65" s="12">
        <v>53854</v>
      </c>
      <c r="J65" s="10">
        <v>2094034000</v>
      </c>
      <c r="K65" s="11">
        <f t="shared" si="12"/>
        <v>70489444.3333662</v>
      </c>
      <c r="L65" s="12">
        <v>1052826018</v>
      </c>
      <c r="M65" s="11">
        <f>F65*L65</f>
        <v>35440265.529848412</v>
      </c>
      <c r="N65" s="12">
        <v>406689503</v>
      </c>
      <c r="O65" s="13">
        <f>N65*F65</f>
        <v>13689995.999435952</v>
      </c>
      <c r="P65" s="12"/>
      <c r="Q65" s="13">
        <f t="shared" si="14"/>
        <v>0</v>
      </c>
      <c r="R65" s="12">
        <v>1041205193</v>
      </c>
      <c r="S65" s="11">
        <f t="shared" si="15"/>
        <v>35049084.920104116</v>
      </c>
      <c r="T65" s="12">
        <v>641463731</v>
      </c>
      <c r="U65" s="12"/>
      <c r="V65" s="12"/>
      <c r="W65" s="12"/>
      <c r="X65" s="12"/>
      <c r="Y65" s="12"/>
      <c r="Z65" s="12"/>
      <c r="AA65" s="12"/>
      <c r="AB65" s="12"/>
      <c r="AC65" s="13"/>
      <c r="AD65" s="12"/>
      <c r="AE65" s="12"/>
      <c r="AF65" s="12">
        <v>19535616</v>
      </c>
      <c r="AG65" s="11">
        <f>AF65*F65</f>
        <v>657608.57586362876</v>
      </c>
      <c r="AH65" s="12">
        <v>1032166000</v>
      </c>
      <c r="AI65" s="12"/>
      <c r="AJ65" s="14"/>
      <c r="AK65" s="11"/>
      <c r="AL65" s="14"/>
      <c r="AM65" s="11"/>
      <c r="AN65" s="12"/>
      <c r="AO65" s="12"/>
      <c r="AP65" s="12"/>
      <c r="AQ65" s="12"/>
      <c r="AR65" s="13"/>
      <c r="AS65" s="12"/>
      <c r="AT65" s="12">
        <f>J65-AH65</f>
        <v>1061868000</v>
      </c>
      <c r="AU65" s="12"/>
      <c r="AV65" s="15"/>
      <c r="AW65" s="16"/>
      <c r="AX65" s="121"/>
      <c r="AY65" s="17"/>
      <c r="AZ65" s="119"/>
      <c r="BA65" s="119"/>
      <c r="BB65" s="119"/>
      <c r="BC65"/>
    </row>
    <row r="66" spans="1:55" ht="19.5" customHeight="1" x14ac:dyDescent="0.25">
      <c r="A66" s="8" t="s">
        <v>182</v>
      </c>
      <c r="B66" s="8" t="s">
        <v>209</v>
      </c>
      <c r="C66" s="9" t="s">
        <v>210</v>
      </c>
      <c r="D66" s="73" t="s">
        <v>529</v>
      </c>
      <c r="E66" s="73" t="s">
        <v>211</v>
      </c>
      <c r="F66" s="73">
        <v>9.4091156999999998E-3</v>
      </c>
      <c r="G66" s="74">
        <f>(609+625)*10000</f>
        <v>12340000</v>
      </c>
      <c r="H66" s="74"/>
      <c r="I66" s="75">
        <v>46300</v>
      </c>
      <c r="J66" s="74">
        <v>64924000000</v>
      </c>
      <c r="K66" s="76">
        <f t="shared" si="12"/>
        <v>610877427.70679998</v>
      </c>
      <c r="L66" s="75">
        <f>29000*1000000</f>
        <v>29000000000</v>
      </c>
      <c r="M66" s="76">
        <f>F66*L66</f>
        <v>272864355.30000001</v>
      </c>
      <c r="N66" s="75"/>
      <c r="O66" s="77"/>
      <c r="P66" s="75"/>
      <c r="Q66" s="77">
        <f t="shared" si="14"/>
        <v>0</v>
      </c>
      <c r="R66" s="75">
        <f>J66-L66</f>
        <v>35924000000</v>
      </c>
      <c r="S66" s="76">
        <f t="shared" si="15"/>
        <v>338013072.40679997</v>
      </c>
      <c r="T66" s="75"/>
      <c r="U66" s="75"/>
      <c r="V66" s="75"/>
      <c r="W66" s="75"/>
      <c r="X66" s="75"/>
      <c r="Y66" s="75"/>
      <c r="Z66" s="75"/>
      <c r="AA66" s="75"/>
      <c r="AB66" s="75"/>
      <c r="AC66" s="77"/>
      <c r="AD66" s="75"/>
      <c r="AE66" s="75"/>
      <c r="AF66" s="75"/>
      <c r="AG66" s="75"/>
      <c r="AH66" s="75">
        <f>(12960+41432)*1000000</f>
        <v>54392000000</v>
      </c>
      <c r="AI66" s="75"/>
      <c r="AJ66" s="82"/>
      <c r="AK66" s="76"/>
      <c r="AL66" s="82"/>
      <c r="AM66" s="76"/>
      <c r="AN66" s="75">
        <f>(2921+1833+471+125)*1000000</f>
        <v>5350000000</v>
      </c>
      <c r="AO66" s="76">
        <f>AN66*F66</f>
        <v>50338768.994999997</v>
      </c>
      <c r="AP66" s="75">
        <v>1024</v>
      </c>
      <c r="AQ66" s="75">
        <f>120.5*100000000</f>
        <v>12050000000</v>
      </c>
      <c r="AR66" s="77"/>
      <c r="AS66" s="75"/>
      <c r="AT66" s="75">
        <f>99*100000000</f>
        <v>9900000000</v>
      </c>
      <c r="AU66" s="77">
        <f t="shared" ref="AU66:AU72" si="16">AT66*F66</f>
        <v>93150245.429999992</v>
      </c>
      <c r="AV66" s="75">
        <f>64.4*100000000</f>
        <v>6440000000.000001</v>
      </c>
      <c r="AW66" s="79">
        <f t="shared" ref="AW66:AW77" si="17">AV66*F66</f>
        <v>60594705.10800001</v>
      </c>
      <c r="AX66" s="124">
        <f>457263*1000000</f>
        <v>457263000000</v>
      </c>
      <c r="AY66" s="80">
        <f t="shared" ref="AY66:AY72" si="18">AX66*F66</f>
        <v>4302440472.3290997</v>
      </c>
      <c r="AZ66" s="124">
        <f>(446402*1000000+AX66)/2</f>
        <v>451832500000</v>
      </c>
      <c r="BA66" s="124">
        <v>33556000000</v>
      </c>
      <c r="BB66" s="124">
        <v>20364000000</v>
      </c>
    </row>
    <row r="67" spans="1:55" x14ac:dyDescent="0.25">
      <c r="A67" s="8" t="s">
        <v>182</v>
      </c>
      <c r="B67" s="8" t="s">
        <v>209</v>
      </c>
      <c r="C67" s="18" t="s">
        <v>212</v>
      </c>
      <c r="D67" s="73" t="s">
        <v>529</v>
      </c>
      <c r="E67" s="73" t="s">
        <v>211</v>
      </c>
      <c r="F67" s="73">
        <v>9.4091156999999998E-3</v>
      </c>
      <c r="G67" s="74">
        <v>23970000</v>
      </c>
      <c r="H67" s="74"/>
      <c r="I67" s="75"/>
      <c r="J67" s="74">
        <v>28240000000</v>
      </c>
      <c r="K67" s="76">
        <f t="shared" si="12"/>
        <v>265713427.368</v>
      </c>
      <c r="L67" s="75"/>
      <c r="M67" s="76"/>
      <c r="N67" s="75"/>
      <c r="O67" s="77"/>
      <c r="P67" s="75"/>
      <c r="Q67" s="77"/>
      <c r="R67" s="74"/>
      <c r="S67" s="76"/>
      <c r="T67" s="75"/>
      <c r="U67" s="75"/>
      <c r="V67" s="75"/>
      <c r="W67" s="73"/>
      <c r="X67" s="75"/>
      <c r="Y67" s="77"/>
      <c r="Z67" s="75"/>
      <c r="AA67" s="77"/>
      <c r="AB67" s="75"/>
      <c r="AC67" s="77"/>
      <c r="AD67" s="75"/>
      <c r="AE67" s="75"/>
      <c r="AF67" s="75"/>
      <c r="AG67" s="75"/>
      <c r="AH67" s="75">
        <f>15314519000+9863463000</f>
        <v>25177982000</v>
      </c>
      <c r="AI67" s="75"/>
      <c r="AJ67" s="78"/>
      <c r="AK67" s="75"/>
      <c r="AL67" s="78"/>
      <c r="AM67" s="75"/>
      <c r="AN67" s="75"/>
      <c r="AO67" s="75"/>
      <c r="AP67" s="75"/>
      <c r="AQ67" s="75"/>
      <c r="AR67" s="77"/>
      <c r="AS67" s="75"/>
      <c r="AT67" s="75">
        <v>3062745000</v>
      </c>
      <c r="AU67" s="77">
        <f t="shared" si="16"/>
        <v>28817722.0645965</v>
      </c>
      <c r="AV67" s="78">
        <v>2040655000</v>
      </c>
      <c r="AW67" s="79">
        <f t="shared" si="17"/>
        <v>19200758.998783499</v>
      </c>
      <c r="AX67" s="124">
        <v>65299490000</v>
      </c>
      <c r="AY67" s="80">
        <f t="shared" si="18"/>
        <v>614410456.56099296</v>
      </c>
      <c r="AZ67" s="124"/>
      <c r="BA67" s="124"/>
      <c r="BB67" s="124"/>
      <c r="BC67" t="s">
        <v>213</v>
      </c>
    </row>
    <row r="68" spans="1:55" x14ac:dyDescent="0.25">
      <c r="A68" s="8" t="s">
        <v>182</v>
      </c>
      <c r="B68" s="8" t="s">
        <v>209</v>
      </c>
      <c r="C68" s="18" t="s">
        <v>214</v>
      </c>
      <c r="D68" s="73" t="s">
        <v>529</v>
      </c>
      <c r="E68" s="73" t="s">
        <v>211</v>
      </c>
      <c r="F68" s="73">
        <v>9.4091156999999998E-3</v>
      </c>
      <c r="G68" s="74">
        <v>3389777</v>
      </c>
      <c r="H68" s="74"/>
      <c r="I68" s="75"/>
      <c r="J68" s="74">
        <v>3490301000</v>
      </c>
      <c r="K68" s="76">
        <f t="shared" si="12"/>
        <v>32840645.9368257</v>
      </c>
      <c r="L68" s="75"/>
      <c r="M68" s="76"/>
      <c r="N68" s="75"/>
      <c r="O68" s="77"/>
      <c r="P68" s="75"/>
      <c r="Q68" s="77">
        <f t="shared" si="14"/>
        <v>0</v>
      </c>
      <c r="R68" s="74"/>
      <c r="S68" s="76">
        <f t="shared" si="15"/>
        <v>0</v>
      </c>
      <c r="T68" s="88"/>
      <c r="U68" s="75"/>
      <c r="V68" s="75"/>
      <c r="W68" s="75"/>
      <c r="X68" s="75"/>
      <c r="Y68" s="75"/>
      <c r="Z68" s="75"/>
      <c r="AA68" s="85"/>
      <c r="AB68" s="75"/>
      <c r="AC68" s="75"/>
      <c r="AD68" s="75"/>
      <c r="AE68" s="75"/>
      <c r="AF68" s="75"/>
      <c r="AG68" s="75"/>
      <c r="AH68" s="75">
        <f>(2790888+330820)*1000</f>
        <v>3121708000</v>
      </c>
      <c r="AI68" s="75"/>
      <c r="AJ68" s="82"/>
      <c r="AK68" s="76"/>
      <c r="AL68" s="82"/>
      <c r="AM68" s="76"/>
      <c r="AN68" s="75"/>
      <c r="AO68" s="75"/>
      <c r="AP68" s="75">
        <v>102</v>
      </c>
      <c r="AQ68" s="73"/>
      <c r="AR68" s="77"/>
      <c r="AS68" s="75"/>
      <c r="AT68" s="75">
        <f>J68-AH68</f>
        <v>368593000</v>
      </c>
      <c r="AU68" s="77">
        <f t="shared" si="16"/>
        <v>3468134.1832101</v>
      </c>
      <c r="AV68" s="78">
        <v>210449000</v>
      </c>
      <c r="AW68" s="79">
        <f t="shared" si="17"/>
        <v>1980138.9899493</v>
      </c>
      <c r="AX68" s="124">
        <v>9506357000</v>
      </c>
      <c r="AY68" s="80">
        <f t="shared" si="18"/>
        <v>89446412.898504898</v>
      </c>
      <c r="AZ68" s="124"/>
      <c r="BA68" s="124"/>
      <c r="BB68" s="124"/>
    </row>
    <row r="69" spans="1:55" x14ac:dyDescent="0.25">
      <c r="A69" s="8" t="s">
        <v>182</v>
      </c>
      <c r="B69" s="8" t="s">
        <v>209</v>
      </c>
      <c r="C69" s="9" t="s">
        <v>215</v>
      </c>
      <c r="D69" s="73" t="s">
        <v>529</v>
      </c>
      <c r="E69" s="73" t="s">
        <v>211</v>
      </c>
      <c r="F69" s="73">
        <v>9.4091156999999998E-3</v>
      </c>
      <c r="G69" s="74">
        <v>43176000</v>
      </c>
      <c r="H69" s="74"/>
      <c r="I69" s="75">
        <v>256821</v>
      </c>
      <c r="J69" s="74">
        <v>249706000000</v>
      </c>
      <c r="K69" s="76">
        <f t="shared" si="12"/>
        <v>2349512644.9842</v>
      </c>
      <c r="L69" s="75">
        <v>10700000000</v>
      </c>
      <c r="M69" s="76">
        <f>F69*L69</f>
        <v>100677537.98999999</v>
      </c>
      <c r="N69" s="75"/>
      <c r="O69" s="77"/>
      <c r="P69" s="75"/>
      <c r="Q69" s="77"/>
      <c r="R69" s="74">
        <f>(299+146+6)*100000000</f>
        <v>45100000000</v>
      </c>
      <c r="S69" s="76">
        <f t="shared" si="15"/>
        <v>424351118.06999999</v>
      </c>
      <c r="T69" s="75"/>
      <c r="U69" s="75"/>
      <c r="V69" s="75"/>
      <c r="W69" s="75"/>
      <c r="X69" s="75">
        <v>82496000000</v>
      </c>
      <c r="Y69" s="75"/>
      <c r="Z69" s="75"/>
      <c r="AA69" s="75"/>
      <c r="AB69" s="75">
        <f>704*100000000</f>
        <v>70400000000</v>
      </c>
      <c r="AC69" s="77">
        <f>AB69*F69</f>
        <v>662401745.27999997</v>
      </c>
      <c r="AD69" s="75"/>
      <c r="AE69" s="75"/>
      <c r="AF69" s="75"/>
      <c r="AG69" s="75"/>
      <c r="AH69" s="75">
        <f>144766000000+AS69</f>
        <v>144766000000</v>
      </c>
      <c r="AI69" s="75"/>
      <c r="AJ69" s="82"/>
      <c r="AK69" s="76"/>
      <c r="AL69" s="82"/>
      <c r="AM69" s="76"/>
      <c r="AN69" s="75">
        <v>15465000000</v>
      </c>
      <c r="AO69" s="76">
        <f>AN69*F69</f>
        <v>145511974.30050001</v>
      </c>
      <c r="AP69" s="75">
        <v>2451</v>
      </c>
      <c r="AQ69" s="75"/>
      <c r="AR69" s="77"/>
      <c r="AS69" s="75"/>
      <c r="AT69" s="75">
        <v>51970000000</v>
      </c>
      <c r="AU69" s="77">
        <f t="shared" si="16"/>
        <v>488991742.92900002</v>
      </c>
      <c r="AV69" s="78">
        <v>35756000000</v>
      </c>
      <c r="AW69" s="79">
        <f t="shared" si="17"/>
        <v>336432340.96920002</v>
      </c>
      <c r="AX69" s="124">
        <v>810503000000</v>
      </c>
      <c r="AY69" s="80">
        <f t="shared" si="18"/>
        <v>7626116502.1970997</v>
      </c>
      <c r="AZ69" s="124">
        <f>(AX69+818584000000)/2</f>
        <v>814543500000</v>
      </c>
      <c r="BA69" s="124">
        <v>95387000000</v>
      </c>
      <c r="BB69" s="124">
        <v>78394000000</v>
      </c>
    </row>
    <row r="70" spans="1:55" x14ac:dyDescent="0.25">
      <c r="A70" s="8" t="s">
        <v>182</v>
      </c>
      <c r="B70" s="8" t="s">
        <v>209</v>
      </c>
      <c r="C70" s="9" t="s">
        <v>216</v>
      </c>
      <c r="D70" s="73" t="s">
        <v>529</v>
      </c>
      <c r="E70" s="73" t="s">
        <v>211</v>
      </c>
      <c r="F70" s="73">
        <v>9.4091156999999998E-3</v>
      </c>
      <c r="G70" s="74">
        <v>48900000</v>
      </c>
      <c r="H70" s="74"/>
      <c r="I70" s="75">
        <f>35.8*10000</f>
        <v>358000</v>
      </c>
      <c r="J70" s="74">
        <v>220400000000</v>
      </c>
      <c r="K70" s="76">
        <f t="shared" si="12"/>
        <v>2073769100.28</v>
      </c>
      <c r="L70" s="75">
        <f>873*100000000</f>
        <v>87300000000</v>
      </c>
      <c r="M70" s="76">
        <f>F70*L70</f>
        <v>821415800.61000001</v>
      </c>
      <c r="N70" s="75"/>
      <c r="O70" s="77"/>
      <c r="P70" s="75"/>
      <c r="Q70" s="77">
        <f t="shared" si="14"/>
        <v>0</v>
      </c>
      <c r="R70" s="74">
        <v>119000000000</v>
      </c>
      <c r="S70" s="76">
        <f t="shared" si="15"/>
        <v>1119684768.3</v>
      </c>
      <c r="T70" s="75"/>
      <c r="U70" s="75">
        <v>32000000000</v>
      </c>
      <c r="V70" s="84">
        <f>U70*F70</f>
        <v>301091702.39999998</v>
      </c>
      <c r="W70" s="75">
        <v>22000000000</v>
      </c>
      <c r="X70" s="75">
        <f>U70+W70</f>
        <v>54000000000</v>
      </c>
      <c r="Y70" s="77">
        <f>X70*F70</f>
        <v>508092247.80000001</v>
      </c>
      <c r="Z70" s="75">
        <v>1500000000</v>
      </c>
      <c r="AA70" s="77">
        <f>Z70*F70</f>
        <v>14113673.549999999</v>
      </c>
      <c r="AB70" s="75">
        <f>Z70+X70</f>
        <v>55500000000</v>
      </c>
      <c r="AC70" s="77">
        <f>AB70*F70</f>
        <v>522205921.34999996</v>
      </c>
      <c r="AD70" s="74">
        <v>79000000</v>
      </c>
      <c r="AE70" s="77">
        <f>AD70*F70</f>
        <v>743320.14029999997</v>
      </c>
      <c r="AF70" s="75"/>
      <c r="AG70" s="75"/>
      <c r="AH70" s="75">
        <f>115*1000000000+AS70</f>
        <v>153400000000</v>
      </c>
      <c r="AI70" s="75"/>
      <c r="AJ70" s="82"/>
      <c r="AK70" s="76"/>
      <c r="AL70" s="82"/>
      <c r="AM70" s="76"/>
      <c r="AN70" s="75" t="s">
        <v>0</v>
      </c>
      <c r="AO70" s="75"/>
      <c r="AP70" s="75"/>
      <c r="AQ70" s="75">
        <f>97.1*1000000000</f>
        <v>97100000000</v>
      </c>
      <c r="AR70" s="77">
        <f>AQ70*F70</f>
        <v>913625134.47000003</v>
      </c>
      <c r="AS70" s="75">
        <f>38.4*1000000000</f>
        <v>38400000000</v>
      </c>
      <c r="AT70" s="75">
        <f>37.8*1000000000</f>
        <v>37800000000</v>
      </c>
      <c r="AU70" s="77">
        <f t="shared" si="16"/>
        <v>355664573.45999998</v>
      </c>
      <c r="AV70" s="78">
        <f>29.6*1000000000</f>
        <v>29600000000</v>
      </c>
      <c r="AW70" s="79">
        <f t="shared" si="17"/>
        <v>278509824.71999997</v>
      </c>
      <c r="AX70" s="124">
        <f>1763.9*1000000000</f>
        <v>1763900000000</v>
      </c>
      <c r="AY70" s="80">
        <f t="shared" si="18"/>
        <v>16596739183.23</v>
      </c>
      <c r="AZ70" s="124">
        <f>AX70+17573*100000000</f>
        <v>3521200000000</v>
      </c>
      <c r="BA70" s="124"/>
      <c r="BB70" s="124"/>
    </row>
    <row r="71" spans="1:55" x14ac:dyDescent="0.25">
      <c r="A71" s="8" t="s">
        <v>182</v>
      </c>
      <c r="B71" s="8" t="s">
        <v>209</v>
      </c>
      <c r="C71" s="18" t="s">
        <v>217</v>
      </c>
      <c r="D71" s="8" t="s">
        <v>135</v>
      </c>
      <c r="E71" s="8" t="s">
        <v>211</v>
      </c>
      <c r="F71" s="8">
        <v>9.4091156999999998E-3</v>
      </c>
      <c r="G71" s="10">
        <v>3158442</v>
      </c>
      <c r="H71" s="10"/>
      <c r="I71" s="12" t="s">
        <v>68</v>
      </c>
      <c r="J71" s="10">
        <v>5138114000</v>
      </c>
      <c r="K71" s="11">
        <f t="shared" si="12"/>
        <v>48345109.105789796</v>
      </c>
      <c r="M71" s="11"/>
      <c r="N71" s="12"/>
      <c r="O71" s="13"/>
      <c r="P71" s="12"/>
      <c r="Q71" s="13">
        <f t="shared" si="14"/>
        <v>0</v>
      </c>
      <c r="R71" s="10">
        <f>(911+302+29)*10000000</f>
        <v>12420000000</v>
      </c>
      <c r="S71" s="11">
        <f t="shared" si="15"/>
        <v>116861216.994</v>
      </c>
      <c r="T71" s="12"/>
      <c r="U71" s="12"/>
      <c r="V71" s="12"/>
      <c r="W71" s="12"/>
      <c r="X71" s="12"/>
      <c r="Y71" s="12"/>
      <c r="Z71" s="12"/>
      <c r="AA71" s="12"/>
      <c r="AB71" s="12">
        <v>2405000000</v>
      </c>
      <c r="AC71" s="13">
        <f>AB71*F71</f>
        <v>22628923.258499999</v>
      </c>
      <c r="AD71" s="12"/>
      <c r="AE71" s="12"/>
      <c r="AF71" s="12"/>
      <c r="AG71" s="12"/>
      <c r="AH71" s="12">
        <f>(2470757+2244656)*1000</f>
        <v>4715413000</v>
      </c>
      <c r="AI71" s="12"/>
      <c r="AJ71" s="14"/>
      <c r="AK71" s="11"/>
      <c r="AL71" s="14"/>
      <c r="AM71" s="11"/>
      <c r="AN71" s="12"/>
      <c r="AO71" s="12"/>
      <c r="AP71" s="12">
        <v>147</v>
      </c>
      <c r="AQ71" s="12"/>
      <c r="AR71" s="13"/>
      <c r="AS71" s="12"/>
      <c r="AT71" s="12">
        <f>J71-AH72</f>
        <v>3612513000</v>
      </c>
      <c r="AU71" s="13">
        <f t="shared" si="16"/>
        <v>33990552.784754097</v>
      </c>
      <c r="AV71" s="15">
        <v>300453000</v>
      </c>
      <c r="AW71" s="16">
        <f t="shared" si="17"/>
        <v>2826997.0394120999</v>
      </c>
      <c r="AX71" s="119">
        <v>6710808000</v>
      </c>
      <c r="AY71" s="17">
        <f t="shared" si="18"/>
        <v>63142768.9124856</v>
      </c>
      <c r="AZ71" s="119"/>
      <c r="BA71" s="119"/>
      <c r="BB71" s="119"/>
    </row>
    <row r="72" spans="1:55" x14ac:dyDescent="0.25">
      <c r="A72" s="8" t="s">
        <v>182</v>
      </c>
      <c r="B72" s="8" t="s">
        <v>209</v>
      </c>
      <c r="C72" s="18" t="s">
        <v>218</v>
      </c>
      <c r="D72" s="8" t="s">
        <v>135</v>
      </c>
      <c r="E72" s="8" t="s">
        <v>211</v>
      </c>
      <c r="F72" s="8">
        <v>9.4091156999999998E-3</v>
      </c>
      <c r="G72" s="10">
        <v>3011842</v>
      </c>
      <c r="H72" s="10"/>
      <c r="I72" s="12"/>
      <c r="J72" s="10">
        <v>1906852000</v>
      </c>
      <c r="K72" s="11">
        <f t="shared" si="12"/>
        <v>17941791.090776399</v>
      </c>
      <c r="M72" s="11"/>
      <c r="N72" s="12"/>
      <c r="O72" s="13"/>
      <c r="P72" s="12"/>
      <c r="Q72" s="13">
        <f t="shared" si="14"/>
        <v>0</v>
      </c>
      <c r="R72" s="10"/>
      <c r="S72" s="11">
        <f t="shared" si="15"/>
        <v>0</v>
      </c>
      <c r="T72" s="12"/>
      <c r="U72" s="12"/>
      <c r="V72" s="12"/>
      <c r="W72" s="12"/>
      <c r="X72" s="12">
        <v>65031000</v>
      </c>
      <c r="Y72" s="13">
        <f>X72*F72</f>
        <v>611884.20308669994</v>
      </c>
      <c r="Z72" s="12">
        <v>74566000</v>
      </c>
      <c r="AA72" s="13">
        <f>Z72*F72</f>
        <v>701600.12128620001</v>
      </c>
      <c r="AB72" s="12">
        <f>X72+Z72</f>
        <v>139597000</v>
      </c>
      <c r="AC72" s="13">
        <f>AB72*F72</f>
        <v>1313484.3243729</v>
      </c>
      <c r="AD72" s="12">
        <v>60990000</v>
      </c>
      <c r="AE72" s="13">
        <f>AD72*F72</f>
        <v>573861.96654299996</v>
      </c>
      <c r="AF72" s="12"/>
      <c r="AG72" s="12"/>
      <c r="AH72" s="12">
        <f>(594718+930883)*1000</f>
        <v>1525601000</v>
      </c>
      <c r="AI72" s="12"/>
      <c r="AJ72" s="15"/>
      <c r="AK72" s="12"/>
      <c r="AL72" s="15"/>
      <c r="AM72" s="12"/>
      <c r="AN72" s="12"/>
      <c r="AO72" s="12"/>
      <c r="AP72" s="12">
        <v>27</v>
      </c>
      <c r="AQ72" s="12"/>
      <c r="AR72" s="13"/>
      <c r="AS72" s="12"/>
      <c r="AT72" s="12">
        <f>J72-AH73</f>
        <v>1906852000</v>
      </c>
      <c r="AU72" s="13">
        <f t="shared" si="16"/>
        <v>17941791.090776399</v>
      </c>
      <c r="AV72" s="12">
        <v>227218000</v>
      </c>
      <c r="AW72" s="16">
        <f t="shared" si="17"/>
        <v>2137920.4511226001</v>
      </c>
      <c r="AX72" s="119">
        <v>4933361000</v>
      </c>
      <c r="AY72" s="17">
        <f t="shared" si="18"/>
        <v>46418564.438867696</v>
      </c>
      <c r="AZ72" s="119"/>
      <c r="BA72" s="119"/>
      <c r="BB72" s="119"/>
    </row>
    <row r="73" spans="1:55" x14ac:dyDescent="0.25">
      <c r="A73" s="8" t="s">
        <v>182</v>
      </c>
      <c r="B73" s="8" t="s">
        <v>219</v>
      </c>
      <c r="C73" s="18" t="s">
        <v>220</v>
      </c>
      <c r="D73" s="8" t="s">
        <v>83</v>
      </c>
      <c r="E73" s="8" t="s">
        <v>221</v>
      </c>
      <c r="F73" s="8">
        <v>9.3773200000000004E-4</v>
      </c>
      <c r="G73" s="10">
        <v>82800000</v>
      </c>
      <c r="H73" s="10"/>
      <c r="I73" s="12"/>
      <c r="J73" s="30">
        <v>925950000000</v>
      </c>
      <c r="K73" s="11">
        <f t="shared" si="12"/>
        <v>868292945.4000001</v>
      </c>
      <c r="M73" s="11"/>
      <c r="N73" s="29"/>
      <c r="O73" s="13"/>
      <c r="P73" s="12"/>
      <c r="Q73" s="13">
        <f t="shared" si="14"/>
        <v>0</v>
      </c>
      <c r="R73" s="10"/>
      <c r="S73" s="11">
        <f t="shared" si="15"/>
        <v>0</v>
      </c>
      <c r="T73" s="12"/>
      <c r="U73" s="12"/>
      <c r="V73" s="12"/>
      <c r="W73" s="12"/>
      <c r="X73" s="12"/>
      <c r="Y73" s="12"/>
      <c r="Z73" s="12"/>
      <c r="AA73" s="12"/>
      <c r="AB73" s="12"/>
      <c r="AC73" s="12"/>
      <c r="AD73" s="12"/>
      <c r="AE73" s="12"/>
      <c r="AF73" s="12"/>
      <c r="AG73" s="12"/>
      <c r="AH73" s="12"/>
      <c r="AI73" s="12"/>
      <c r="AJ73" s="15"/>
      <c r="AK73" s="12"/>
      <c r="AL73" s="15"/>
      <c r="AM73" s="12"/>
      <c r="AN73" s="12"/>
      <c r="AO73" s="12"/>
      <c r="AP73" s="12"/>
      <c r="AQ73" s="12"/>
      <c r="AR73" s="13"/>
      <c r="AS73" s="12"/>
      <c r="AT73" s="12"/>
      <c r="AU73" s="13"/>
      <c r="AV73" s="15">
        <f>175.5*1000000000</f>
        <v>175500000000</v>
      </c>
      <c r="AW73" s="16">
        <f t="shared" si="17"/>
        <v>164571966</v>
      </c>
      <c r="AY73" s="17"/>
      <c r="AZ73" s="119"/>
      <c r="BA73" s="119"/>
      <c r="BB73" s="119"/>
    </row>
    <row r="74" spans="1:55" x14ac:dyDescent="0.25">
      <c r="A74" s="8" t="s">
        <v>182</v>
      </c>
      <c r="B74" s="8" t="s">
        <v>219</v>
      </c>
      <c r="C74" s="9" t="s">
        <v>222</v>
      </c>
      <c r="D74" s="8" t="s">
        <v>83</v>
      </c>
      <c r="E74" s="8" t="s">
        <v>221</v>
      </c>
      <c r="F74" s="8">
        <v>9.3773200000000004E-4</v>
      </c>
      <c r="G74" s="10">
        <v>62000000</v>
      </c>
      <c r="H74" s="10"/>
      <c r="I74" s="12">
        <v>360000</v>
      </c>
      <c r="J74" s="10">
        <v>2430600000000</v>
      </c>
      <c r="K74" s="11">
        <f t="shared" si="12"/>
        <v>2279251399.2000003</v>
      </c>
      <c r="L74" s="12">
        <f>(3761+4493)*100000000</f>
        <v>825400000000</v>
      </c>
      <c r="M74" s="11">
        <f>F74*L74</f>
        <v>774003992.80000007</v>
      </c>
      <c r="N74" s="12"/>
      <c r="O74" s="13"/>
      <c r="P74" s="12"/>
      <c r="Q74" s="13">
        <f t="shared" si="14"/>
        <v>0</v>
      </c>
      <c r="R74" s="10">
        <f>J74-L74</f>
        <v>1605200000000</v>
      </c>
      <c r="S74" s="11">
        <f t="shared" si="15"/>
        <v>1505247406.4000001</v>
      </c>
      <c r="T74" s="12"/>
      <c r="U74" s="12"/>
      <c r="V74" s="12"/>
      <c r="W74" s="12"/>
      <c r="X74" s="12"/>
      <c r="Y74" s="12"/>
      <c r="Z74" s="12"/>
      <c r="AA74" s="12"/>
      <c r="AB74" s="12"/>
      <c r="AC74" s="12"/>
      <c r="AD74" s="12"/>
      <c r="AE74" s="12"/>
      <c r="AF74" s="12"/>
      <c r="AG74" s="12"/>
      <c r="AH74" s="10"/>
      <c r="AI74" s="10"/>
      <c r="AJ74" s="14"/>
      <c r="AK74" s="11"/>
      <c r="AL74" s="14"/>
      <c r="AM74" s="11"/>
      <c r="AN74" s="12"/>
      <c r="AO74" s="12"/>
      <c r="AP74" s="12"/>
      <c r="AQ74" s="12"/>
      <c r="AR74" s="13"/>
      <c r="AS74" s="12"/>
      <c r="AT74" s="12">
        <f>1453200000000</f>
        <v>1453200000000</v>
      </c>
      <c r="AU74" s="13">
        <f>AT74*F74</f>
        <v>1362712142.4000001</v>
      </c>
      <c r="AV74" s="15">
        <v>1116400000000</v>
      </c>
      <c r="AW74" s="16">
        <f t="shared" si="17"/>
        <v>1046884004.8000001</v>
      </c>
      <c r="AX74" s="119">
        <f>122753*100000000</f>
        <v>12275300000000</v>
      </c>
      <c r="AY74" s="17">
        <f>AX74*F74</f>
        <v>11510941619.6</v>
      </c>
      <c r="AZ74" s="119">
        <f>(AX74+(10868800000000))/2</f>
        <v>11572050000000</v>
      </c>
      <c r="BA74" s="119"/>
      <c r="BB74" s="119"/>
    </row>
    <row r="75" spans="1:55" x14ac:dyDescent="0.25">
      <c r="A75" s="8" t="s">
        <v>223</v>
      </c>
      <c r="B75" s="8" t="s">
        <v>224</v>
      </c>
      <c r="C75" s="9" t="s">
        <v>225</v>
      </c>
      <c r="D75" s="47" t="s">
        <v>545</v>
      </c>
      <c r="E75" s="47" t="s">
        <v>226</v>
      </c>
      <c r="F75" s="47">
        <v>1.73196332E-2</v>
      </c>
      <c r="G75" s="48" t="s">
        <v>0</v>
      </c>
      <c r="H75" s="48"/>
      <c r="I75" s="50"/>
      <c r="J75" s="48">
        <v>19777000000</v>
      </c>
      <c r="K75" s="97">
        <f t="shared" si="12"/>
        <v>342530385.79640001</v>
      </c>
      <c r="L75" s="50">
        <f>(7087+11388)*1000000</f>
        <v>18475000000</v>
      </c>
      <c r="M75" s="49"/>
      <c r="N75" s="50"/>
      <c r="O75" s="51"/>
      <c r="P75" s="50"/>
      <c r="Q75" s="51"/>
      <c r="R75" s="48">
        <v>3683000000</v>
      </c>
      <c r="S75" s="49"/>
      <c r="T75" s="50"/>
      <c r="U75" s="50"/>
      <c r="V75" s="50"/>
      <c r="W75" s="50"/>
      <c r="X75" s="50"/>
      <c r="Y75" s="50"/>
      <c r="Z75" s="50"/>
      <c r="AA75" s="50"/>
      <c r="AB75" s="50"/>
      <c r="AC75" s="50"/>
      <c r="AD75" s="50"/>
      <c r="AE75" s="50"/>
      <c r="AF75" s="50">
        <v>286000000</v>
      </c>
      <c r="AG75" s="50"/>
      <c r="AH75" s="50">
        <v>15268000000</v>
      </c>
      <c r="AI75" s="50"/>
      <c r="AJ75" s="56">
        <v>298000000</v>
      </c>
      <c r="AK75" s="50"/>
      <c r="AL75" s="56">
        <v>1107000000</v>
      </c>
      <c r="AM75" s="50"/>
      <c r="AN75" s="50">
        <v>4605000000</v>
      </c>
      <c r="AO75" s="50"/>
      <c r="AP75" s="50"/>
      <c r="AQ75" s="50"/>
      <c r="AR75" s="51"/>
      <c r="AS75" s="50"/>
      <c r="AT75" s="50">
        <v>4509000000</v>
      </c>
      <c r="AU75" s="51"/>
      <c r="AV75" s="56">
        <v>884000000</v>
      </c>
      <c r="AW75" s="53">
        <f t="shared" si="17"/>
        <v>15310555.7488</v>
      </c>
      <c r="AX75" s="120">
        <v>140494000000</v>
      </c>
      <c r="AY75" s="55"/>
      <c r="AZ75" s="120">
        <f>(AX75+114851000000)/2</f>
        <v>127672500000</v>
      </c>
      <c r="BA75" s="120">
        <v>37169000000</v>
      </c>
      <c r="BB75" s="120">
        <v>6125000000</v>
      </c>
    </row>
    <row r="76" spans="1:55" x14ac:dyDescent="0.25">
      <c r="A76" s="8" t="s">
        <v>223</v>
      </c>
      <c r="B76" s="8" t="s">
        <v>224</v>
      </c>
      <c r="C76" s="9" t="s">
        <v>227</v>
      </c>
      <c r="D76" s="47" t="s">
        <v>527</v>
      </c>
      <c r="E76" s="47" t="s">
        <v>251</v>
      </c>
      <c r="F76" s="47">
        <v>1</v>
      </c>
      <c r="G76" s="48">
        <v>45836000</v>
      </c>
      <c r="H76" s="48"/>
      <c r="I76" s="50">
        <v>357228</v>
      </c>
      <c r="J76" s="48">
        <v>924606000</v>
      </c>
      <c r="K76" s="97">
        <f t="shared" si="12"/>
        <v>924606000</v>
      </c>
      <c r="L76" s="50">
        <v>310934000</v>
      </c>
      <c r="M76" s="49"/>
      <c r="N76" s="50"/>
      <c r="O76" s="51"/>
      <c r="P76" s="50"/>
      <c r="Q76" s="51">
        <f t="shared" si="14"/>
        <v>0</v>
      </c>
      <c r="R76" s="48">
        <f>J76-L76</f>
        <v>613672000</v>
      </c>
      <c r="S76" s="49"/>
      <c r="T76" s="50"/>
      <c r="U76" s="50"/>
      <c r="V76" s="50"/>
      <c r="W76" s="50"/>
      <c r="X76" s="50"/>
      <c r="Y76" s="50"/>
      <c r="Z76" s="50"/>
      <c r="AA76" s="50"/>
      <c r="AB76" s="50"/>
      <c r="AC76" s="50"/>
      <c r="AD76" s="50"/>
      <c r="AE76" s="50"/>
      <c r="AF76" s="50"/>
      <c r="AG76" s="50"/>
      <c r="AH76" s="50">
        <v>613443000</v>
      </c>
      <c r="AI76" s="50"/>
      <c r="AJ76" s="52"/>
      <c r="AK76" s="49"/>
      <c r="AL76" s="52"/>
      <c r="AM76" s="49"/>
      <c r="AN76" s="50">
        <v>260111000</v>
      </c>
      <c r="AO76" s="50"/>
      <c r="AP76" s="50"/>
      <c r="AQ76" s="50"/>
      <c r="AR76" s="51"/>
      <c r="AS76" s="50"/>
      <c r="AT76" s="50">
        <v>311173000</v>
      </c>
      <c r="AU76" s="51"/>
      <c r="AV76" s="56">
        <v>-100735000</v>
      </c>
      <c r="AW76" s="53">
        <f t="shared" si="17"/>
        <v>-100735000</v>
      </c>
      <c r="AX76" s="120">
        <v>2359228000</v>
      </c>
      <c r="AY76" s="55"/>
      <c r="AZ76" s="120">
        <f>(AX76+2477735000)/2</f>
        <v>2418481500</v>
      </c>
      <c r="BA76" s="120">
        <v>213370000</v>
      </c>
      <c r="BB76" s="120">
        <v>368104000</v>
      </c>
    </row>
    <row r="77" spans="1:55" x14ac:dyDescent="0.25">
      <c r="A77" s="8" t="s">
        <v>223</v>
      </c>
      <c r="B77" s="8" t="s">
        <v>224</v>
      </c>
      <c r="C77" s="18" t="s">
        <v>228</v>
      </c>
      <c r="D77" s="47" t="s">
        <v>66</v>
      </c>
      <c r="E77" s="47" t="s">
        <v>226</v>
      </c>
      <c r="F77" s="47">
        <v>1.73196332E-2</v>
      </c>
      <c r="G77" s="48">
        <v>1850000</v>
      </c>
      <c r="H77" s="48"/>
      <c r="I77" s="50" t="s">
        <v>68</v>
      </c>
      <c r="J77" s="48">
        <v>1168000000</v>
      </c>
      <c r="K77" s="97"/>
      <c r="L77" s="50">
        <v>926000000</v>
      </c>
      <c r="M77" s="49"/>
      <c r="N77" s="50"/>
      <c r="O77" s="51"/>
      <c r="P77" s="50"/>
      <c r="Q77" s="51"/>
      <c r="R77" s="48">
        <f>J77-L77</f>
        <v>242000000</v>
      </c>
      <c r="S77" s="49"/>
      <c r="T77" s="50"/>
      <c r="U77" s="50"/>
      <c r="V77" s="50"/>
      <c r="W77" s="50"/>
      <c r="X77" s="50"/>
      <c r="Y77" s="50"/>
      <c r="Z77" s="50"/>
      <c r="AA77" s="50"/>
      <c r="AB77" s="50"/>
      <c r="AC77" s="50"/>
      <c r="AD77" s="50"/>
      <c r="AE77" s="50"/>
      <c r="AF77" s="50"/>
      <c r="AG77" s="50"/>
      <c r="AH77" s="50">
        <v>1099426000</v>
      </c>
      <c r="AI77" s="50"/>
      <c r="AJ77" s="56">
        <v>33320000</v>
      </c>
      <c r="AK77" s="50"/>
      <c r="AL77" s="56"/>
      <c r="AM77" s="50"/>
      <c r="AN77" s="50">
        <f>(613295000+12885000)</f>
        <v>626180000</v>
      </c>
      <c r="AO77" s="50"/>
      <c r="AP77" s="50"/>
      <c r="AQ77" s="50">
        <v>-109014000</v>
      </c>
      <c r="AR77" s="51"/>
      <c r="AS77" s="50"/>
      <c r="AT77" s="50">
        <v>68980000</v>
      </c>
      <c r="AU77" s="51"/>
      <c r="AV77" s="56">
        <v>-118943000</v>
      </c>
      <c r="AW77" s="53">
        <f t="shared" si="17"/>
        <v>-2060049.1317076001</v>
      </c>
      <c r="AX77" s="120">
        <v>526618000</v>
      </c>
      <c r="AY77" s="55"/>
      <c r="AZ77" s="120">
        <f>(AX77+706429000)/2</f>
        <v>616523500</v>
      </c>
      <c r="BA77" s="120">
        <v>380551000</v>
      </c>
      <c r="BB77" s="120"/>
    </row>
    <row r="78" spans="1:55" x14ac:dyDescent="0.25">
      <c r="A78" s="8" t="s">
        <v>223</v>
      </c>
      <c r="B78" s="8" t="s">
        <v>224</v>
      </c>
      <c r="C78" s="9" t="s">
        <v>531</v>
      </c>
      <c r="D78" s="47" t="s">
        <v>527</v>
      </c>
      <c r="E78" s="47" t="s">
        <v>110</v>
      </c>
      <c r="F78" s="47" t="s">
        <v>0</v>
      </c>
      <c r="G78" s="48"/>
      <c r="H78" s="48"/>
      <c r="I78" s="50"/>
      <c r="J78" s="48">
        <v>274000000</v>
      </c>
      <c r="K78" s="97"/>
      <c r="L78" s="50"/>
      <c r="M78" s="49"/>
      <c r="N78" s="50"/>
      <c r="O78" s="51"/>
      <c r="P78" s="50"/>
      <c r="Q78" s="51"/>
      <c r="R78" s="48"/>
      <c r="S78" s="49"/>
      <c r="T78" s="50"/>
      <c r="U78" s="50"/>
      <c r="V78" s="50"/>
      <c r="W78" s="50"/>
      <c r="X78" s="50"/>
      <c r="Y78" s="50"/>
      <c r="Z78" s="50"/>
      <c r="AA78" s="50"/>
      <c r="AB78" s="50"/>
      <c r="AC78" s="50"/>
      <c r="AD78" s="50"/>
      <c r="AE78" s="50"/>
      <c r="AF78" s="50"/>
      <c r="AG78" s="50"/>
      <c r="AH78" s="50"/>
      <c r="AI78" s="50"/>
      <c r="AJ78" s="52"/>
      <c r="AK78" s="49"/>
      <c r="AL78" s="52"/>
      <c r="AM78" s="49"/>
      <c r="AN78" s="50"/>
      <c r="AO78" s="50"/>
      <c r="AP78" s="50"/>
      <c r="AQ78" s="50">
        <v>171300000</v>
      </c>
      <c r="AR78" s="51"/>
      <c r="AS78" s="50"/>
      <c r="AT78" s="50">
        <v>135600000</v>
      </c>
      <c r="AU78" s="51"/>
      <c r="AV78" s="56">
        <v>-23200000</v>
      </c>
      <c r="AW78" s="53"/>
      <c r="AX78" s="122"/>
      <c r="AY78" s="55"/>
      <c r="AZ78" s="120"/>
      <c r="BA78" s="120"/>
      <c r="BB78" s="120"/>
    </row>
    <row r="79" spans="1:55" x14ac:dyDescent="0.25">
      <c r="A79" s="8" t="s">
        <v>223</v>
      </c>
      <c r="B79" s="8" t="s">
        <v>224</v>
      </c>
      <c r="C79" s="18" t="s">
        <v>229</v>
      </c>
      <c r="D79" s="8" t="s">
        <v>83</v>
      </c>
      <c r="E79" s="8" t="s">
        <v>226</v>
      </c>
      <c r="F79" s="8">
        <v>1.73196332E-2</v>
      </c>
      <c r="G79" s="10">
        <v>5600000</v>
      </c>
      <c r="H79" s="10"/>
      <c r="I79" s="12" t="s">
        <v>68</v>
      </c>
      <c r="J79" s="10">
        <v>4500000000</v>
      </c>
      <c r="K79" s="31">
        <f t="shared" si="12"/>
        <v>77938349.400000006</v>
      </c>
      <c r="M79" s="11"/>
      <c r="N79" s="12"/>
      <c r="O79" s="13"/>
      <c r="P79" s="12"/>
      <c r="Q79" s="13">
        <f t="shared" si="14"/>
        <v>0</v>
      </c>
      <c r="R79" s="10"/>
      <c r="S79" s="11">
        <f t="shared" si="15"/>
        <v>0</v>
      </c>
      <c r="T79" s="12"/>
      <c r="U79" s="12"/>
      <c r="V79" s="12"/>
      <c r="W79" s="12"/>
      <c r="X79" s="12"/>
      <c r="Y79" s="12"/>
      <c r="Z79" s="12"/>
      <c r="AA79" s="12"/>
      <c r="AB79" s="12"/>
      <c r="AC79" s="12"/>
      <c r="AD79" s="12"/>
      <c r="AE79" s="12"/>
      <c r="AF79" s="12"/>
      <c r="AG79" s="12"/>
      <c r="AH79" s="12"/>
      <c r="AI79" s="12"/>
      <c r="AJ79" s="15"/>
      <c r="AK79" s="12"/>
      <c r="AL79" s="15"/>
      <c r="AM79" s="12"/>
      <c r="AN79" s="12"/>
      <c r="AO79" s="12"/>
      <c r="AP79" s="12"/>
      <c r="AQ79" s="12"/>
      <c r="AR79" s="13"/>
      <c r="AS79" s="12"/>
      <c r="AT79" s="12"/>
      <c r="AU79" s="13"/>
      <c r="AV79" s="15"/>
      <c r="AW79" s="32"/>
      <c r="AX79" s="121"/>
      <c r="AY79" s="17"/>
      <c r="AZ79" s="119"/>
      <c r="BA79" s="119"/>
      <c r="BB79" s="119"/>
    </row>
    <row r="80" spans="1:55" x14ac:dyDescent="0.25">
      <c r="A80" s="8" t="s">
        <v>223</v>
      </c>
      <c r="B80" s="8" t="s">
        <v>224</v>
      </c>
      <c r="C80" s="18" t="s">
        <v>230</v>
      </c>
      <c r="D80" s="8" t="s">
        <v>83</v>
      </c>
      <c r="E80" s="8" t="s">
        <v>231</v>
      </c>
      <c r="F80" s="8">
        <v>1.73196332E-2</v>
      </c>
      <c r="G80" s="10">
        <v>3400000</v>
      </c>
      <c r="H80" s="10"/>
      <c r="I80" s="12" t="s">
        <v>68</v>
      </c>
      <c r="J80" s="10">
        <v>2800000000</v>
      </c>
      <c r="K80" s="31">
        <f t="shared" si="12"/>
        <v>48494972.960000001</v>
      </c>
      <c r="M80" s="11"/>
      <c r="N80" s="12"/>
      <c r="O80" s="13"/>
      <c r="P80" s="12"/>
      <c r="Q80" s="13">
        <f t="shared" si="14"/>
        <v>0</v>
      </c>
      <c r="R80" s="10"/>
      <c r="S80" s="11">
        <f t="shared" si="15"/>
        <v>0</v>
      </c>
      <c r="T80" s="12"/>
      <c r="U80" s="12"/>
      <c r="V80" s="12"/>
      <c r="W80" s="12"/>
      <c r="X80" s="12"/>
      <c r="Y80" s="12"/>
      <c r="Z80" s="12"/>
      <c r="AA80" s="12"/>
      <c r="AB80" s="12"/>
      <c r="AC80" s="12"/>
      <c r="AD80" s="12"/>
      <c r="AE80" s="12"/>
      <c r="AF80" s="12"/>
      <c r="AG80" s="12"/>
      <c r="AH80" s="12"/>
      <c r="AI80" s="12"/>
      <c r="AJ80" s="15"/>
      <c r="AK80" s="12"/>
      <c r="AL80" s="15"/>
      <c r="AM80" s="12"/>
      <c r="AN80" s="12"/>
      <c r="AO80" s="12"/>
      <c r="AP80" s="12"/>
      <c r="AQ80" s="12"/>
      <c r="AR80" s="13"/>
      <c r="AS80" s="12"/>
      <c r="AT80" s="12"/>
      <c r="AU80" s="13"/>
      <c r="AV80" s="15"/>
      <c r="AW80" s="32"/>
      <c r="AX80" s="121"/>
      <c r="AY80" s="17"/>
      <c r="AZ80" s="119"/>
      <c r="BA80" s="119"/>
      <c r="BB80" s="119"/>
    </row>
    <row r="81" spans="1:55" x14ac:dyDescent="0.25">
      <c r="A81" s="8" t="s">
        <v>223</v>
      </c>
      <c r="B81" s="8" t="s">
        <v>224</v>
      </c>
      <c r="C81" s="18" t="s">
        <v>232</v>
      </c>
      <c r="D81" s="8" t="s">
        <v>83</v>
      </c>
      <c r="E81" s="8" t="s">
        <v>226</v>
      </c>
      <c r="F81" s="8">
        <v>1.73196332E-2</v>
      </c>
      <c r="G81" s="10">
        <v>1300000</v>
      </c>
      <c r="H81" s="10"/>
      <c r="I81" s="12" t="s">
        <v>68</v>
      </c>
      <c r="J81" s="10">
        <v>814600000</v>
      </c>
      <c r="K81" s="31">
        <f t="shared" si="12"/>
        <v>14108573.20472</v>
      </c>
      <c r="M81" s="11"/>
      <c r="N81" s="12"/>
      <c r="O81" s="13"/>
      <c r="P81" s="12"/>
      <c r="Q81" s="13">
        <f t="shared" si="14"/>
        <v>0</v>
      </c>
      <c r="R81" s="10"/>
      <c r="S81" s="11">
        <f t="shared" si="15"/>
        <v>0</v>
      </c>
      <c r="T81" s="12"/>
      <c r="U81" s="12"/>
      <c r="V81" s="12"/>
      <c r="W81" s="12"/>
      <c r="X81" s="12"/>
      <c r="Y81" s="12"/>
      <c r="Z81" s="12"/>
      <c r="AA81" s="12"/>
      <c r="AB81" s="12"/>
      <c r="AC81" s="12"/>
      <c r="AD81" s="12"/>
      <c r="AE81" s="12"/>
      <c r="AF81" s="12"/>
      <c r="AG81" s="12"/>
      <c r="AH81" s="12"/>
      <c r="AI81" s="12"/>
      <c r="AJ81" s="15"/>
      <c r="AK81" s="12"/>
      <c r="AL81" s="15"/>
      <c r="AM81" s="12"/>
      <c r="AN81" s="12"/>
      <c r="AO81" s="12"/>
      <c r="AP81" s="12"/>
      <c r="AQ81" s="12"/>
      <c r="AR81" s="13"/>
      <c r="AS81" s="12"/>
      <c r="AT81" s="12"/>
      <c r="AU81" s="13"/>
      <c r="AV81" s="15"/>
      <c r="AW81" s="32"/>
      <c r="AX81" s="121"/>
      <c r="AY81" s="17"/>
      <c r="AZ81" s="119"/>
      <c r="BA81" s="119"/>
      <c r="BB81" s="119"/>
    </row>
    <row r="82" spans="1:55" x14ac:dyDescent="0.25">
      <c r="A82" s="8" t="s">
        <v>223</v>
      </c>
      <c r="B82" s="8" t="s">
        <v>224</v>
      </c>
      <c r="C82" s="9" t="s">
        <v>233</v>
      </c>
      <c r="D82" s="8" t="s">
        <v>83</v>
      </c>
      <c r="E82" s="8" t="s">
        <v>226</v>
      </c>
      <c r="F82" s="8">
        <v>1.73196332E-2</v>
      </c>
      <c r="G82" s="10">
        <v>18139000</v>
      </c>
      <c r="H82" s="10"/>
      <c r="I82" s="12">
        <v>163600</v>
      </c>
      <c r="J82" s="10">
        <v>10000000000</v>
      </c>
      <c r="K82" s="31">
        <f t="shared" si="12"/>
        <v>173196332</v>
      </c>
      <c r="L82" s="12">
        <v>5000000000</v>
      </c>
      <c r="M82" s="11">
        <f>F82*L82</f>
        <v>86598166</v>
      </c>
      <c r="N82" s="12"/>
      <c r="O82" s="13"/>
      <c r="P82" s="12"/>
      <c r="Q82" s="13">
        <f t="shared" si="14"/>
        <v>0</v>
      </c>
      <c r="R82" s="12">
        <v>5000000000</v>
      </c>
      <c r="S82" s="11">
        <f t="shared" si="15"/>
        <v>86598166</v>
      </c>
      <c r="T82" s="12"/>
      <c r="U82" s="12"/>
      <c r="V82" s="12"/>
      <c r="W82" s="12"/>
      <c r="X82" s="12"/>
      <c r="Y82" s="12"/>
      <c r="Z82" s="12"/>
      <c r="AA82" s="12"/>
      <c r="AB82" s="12"/>
      <c r="AC82" s="12"/>
      <c r="AD82" s="12"/>
      <c r="AE82" s="12"/>
      <c r="AF82" s="12"/>
      <c r="AG82" s="12"/>
      <c r="AH82" s="12"/>
      <c r="AI82" s="12"/>
      <c r="AJ82" s="15"/>
      <c r="AK82" s="12"/>
      <c r="AL82" s="15"/>
      <c r="AM82" s="12"/>
      <c r="AN82" s="12"/>
      <c r="AO82" s="12"/>
      <c r="AP82" s="12"/>
      <c r="AQ82" s="12">
        <v>3600000000</v>
      </c>
      <c r="AR82" s="13">
        <f>AQ82*F82</f>
        <v>62350679.520000003</v>
      </c>
      <c r="AS82" s="12"/>
      <c r="AT82" s="12"/>
      <c r="AU82" s="13"/>
      <c r="AV82" s="15">
        <v>-1800000000</v>
      </c>
      <c r="AW82" s="32">
        <f>AV82*F82</f>
        <v>-31175339.760000002</v>
      </c>
      <c r="AX82" s="119"/>
      <c r="AY82" s="17"/>
      <c r="AZ82" s="119"/>
      <c r="BA82" s="119"/>
      <c r="BB82" s="119"/>
    </row>
    <row r="83" spans="1:55" x14ac:dyDescent="0.25">
      <c r="A83" s="8" t="s">
        <v>223</v>
      </c>
      <c r="B83" s="8" t="s">
        <v>234</v>
      </c>
      <c r="C83" s="18" t="s">
        <v>235</v>
      </c>
      <c r="D83" s="8" t="s">
        <v>83</v>
      </c>
      <c r="E83" s="8" t="s">
        <v>236</v>
      </c>
      <c r="F83" s="8">
        <v>3.0039132000000001E-3</v>
      </c>
      <c r="G83" s="10">
        <v>5640800</v>
      </c>
      <c r="H83" s="10"/>
      <c r="I83" s="12" t="s">
        <v>68</v>
      </c>
      <c r="J83" s="10">
        <v>56507000000</v>
      </c>
      <c r="K83" s="31">
        <f t="shared" si="12"/>
        <v>169742123.19240001</v>
      </c>
      <c r="L83" s="12">
        <f>J83-R83</f>
        <v>53936000000</v>
      </c>
      <c r="M83" s="11">
        <f>F83*L83</f>
        <v>162019062.35519999</v>
      </c>
      <c r="N83" s="12"/>
      <c r="O83" s="13"/>
      <c r="P83" s="12"/>
      <c r="Q83" s="13">
        <f t="shared" si="14"/>
        <v>0</v>
      </c>
      <c r="R83" s="12">
        <v>2571000000</v>
      </c>
      <c r="S83" s="11">
        <f t="shared" si="15"/>
        <v>7723060.8372</v>
      </c>
      <c r="T83" s="12"/>
      <c r="U83" s="12"/>
      <c r="V83" s="12"/>
      <c r="W83" s="12"/>
      <c r="X83" s="12"/>
      <c r="Y83" s="12"/>
      <c r="Z83" s="12"/>
      <c r="AA83" s="12"/>
      <c r="AB83" s="12"/>
      <c r="AC83" s="12"/>
      <c r="AD83" s="12"/>
      <c r="AE83" s="12"/>
      <c r="AF83" s="12"/>
      <c r="AG83" s="12"/>
      <c r="AH83" s="12">
        <v>52430000000</v>
      </c>
      <c r="AI83" s="12"/>
      <c r="AJ83" s="14"/>
      <c r="AK83" s="11"/>
      <c r="AL83" s="14"/>
      <c r="AM83" s="11"/>
      <c r="AN83" s="12">
        <f>13%*AH83</f>
        <v>6815900000</v>
      </c>
      <c r="AO83" s="12"/>
      <c r="AP83" s="12">
        <v>3352</v>
      </c>
      <c r="AQ83" s="12">
        <f>AS83+AT83</f>
        <v>9245000000</v>
      </c>
      <c r="AR83" s="13">
        <f>AQ83*F83</f>
        <v>27771177.534000002</v>
      </c>
      <c r="AS83" s="33">
        <v>5168000000</v>
      </c>
      <c r="AT83" s="12">
        <f>J83-AH83</f>
        <v>4077000000</v>
      </c>
      <c r="AU83" s="13">
        <f>AT83*F83</f>
        <v>12246954.1164</v>
      </c>
      <c r="AV83" s="15"/>
      <c r="AW83" s="32"/>
      <c r="AX83" s="121"/>
      <c r="AY83" s="17"/>
      <c r="AZ83" s="119"/>
      <c r="BA83" s="119"/>
      <c r="BB83" s="119"/>
    </row>
    <row r="84" spans="1:55" x14ac:dyDescent="0.25">
      <c r="A84" s="8" t="s">
        <v>223</v>
      </c>
      <c r="B84" s="8" t="s">
        <v>237</v>
      </c>
      <c r="C84" s="18" t="s">
        <v>238</v>
      </c>
      <c r="D84" s="8" t="s">
        <v>83</v>
      </c>
      <c r="E84" s="8" t="s">
        <v>239</v>
      </c>
      <c r="F84" s="8">
        <v>1.4502001E-2</v>
      </c>
      <c r="G84" s="10">
        <v>3658337</v>
      </c>
      <c r="H84" s="10"/>
      <c r="I84" s="12">
        <v>31956</v>
      </c>
      <c r="J84" s="10">
        <v>4200000000</v>
      </c>
      <c r="K84" s="11">
        <f t="shared" si="12"/>
        <v>60908404.200000003</v>
      </c>
      <c r="M84" s="11"/>
      <c r="N84" s="12"/>
      <c r="O84" s="13"/>
      <c r="P84" s="12"/>
      <c r="Q84" s="13">
        <f t="shared" si="14"/>
        <v>0</v>
      </c>
      <c r="R84" s="12"/>
      <c r="S84" s="11">
        <f t="shared" si="15"/>
        <v>0</v>
      </c>
      <c r="T84" s="12"/>
      <c r="U84" s="12"/>
      <c r="V84" s="12"/>
      <c r="W84" s="12"/>
      <c r="X84" s="12"/>
      <c r="Y84" s="12"/>
      <c r="Z84" s="12"/>
      <c r="AA84" s="12"/>
      <c r="AB84" s="12"/>
      <c r="AC84" s="12"/>
      <c r="AD84" s="12"/>
      <c r="AE84" s="12"/>
      <c r="AF84" s="12"/>
      <c r="AG84" s="12"/>
      <c r="AH84" s="12"/>
      <c r="AI84" s="12"/>
      <c r="AJ84" s="15"/>
      <c r="AK84" s="12"/>
      <c r="AL84" s="15"/>
      <c r="AM84" s="12"/>
      <c r="AN84" s="12"/>
      <c r="AO84" s="12"/>
      <c r="AP84" s="12"/>
      <c r="AQ84" s="12"/>
      <c r="AR84" s="13"/>
      <c r="AS84" s="12"/>
      <c r="AT84" s="12"/>
      <c r="AU84" s="13"/>
      <c r="AV84" s="15">
        <v>1834000000</v>
      </c>
      <c r="AW84" s="32">
        <f>AV84*F84</f>
        <v>26596669.834000003</v>
      </c>
      <c r="AX84" s="119"/>
      <c r="AY84" s="17"/>
      <c r="AZ84" s="119"/>
      <c r="BA84" s="119"/>
      <c r="BB84" s="119"/>
    </row>
    <row r="85" spans="1:55" x14ac:dyDescent="0.25">
      <c r="A85" s="8" t="s">
        <v>223</v>
      </c>
      <c r="B85" s="8" t="s">
        <v>240</v>
      </c>
      <c r="C85" s="18" t="s">
        <v>241</v>
      </c>
      <c r="D85" s="8" t="s">
        <v>242</v>
      </c>
      <c r="E85" s="8" t="s">
        <v>243</v>
      </c>
      <c r="F85" s="8">
        <v>3.5392253200000001E-2</v>
      </c>
      <c r="G85" s="10">
        <v>611500</v>
      </c>
      <c r="H85" s="10"/>
      <c r="I85" s="12" t="s">
        <v>68</v>
      </c>
      <c r="J85" s="10">
        <v>180200000</v>
      </c>
      <c r="K85" s="11">
        <f t="shared" si="12"/>
        <v>6377684.0266399998</v>
      </c>
      <c r="M85" s="11"/>
      <c r="N85" s="12"/>
      <c r="O85" s="13"/>
      <c r="P85" s="12"/>
      <c r="Q85" s="13">
        <f t="shared" si="14"/>
        <v>0</v>
      </c>
      <c r="R85" s="12"/>
      <c r="S85" s="11">
        <f t="shared" si="15"/>
        <v>0</v>
      </c>
      <c r="T85" s="12"/>
      <c r="U85" s="12"/>
      <c r="V85" s="12"/>
      <c r="W85" s="12"/>
      <c r="X85" s="12"/>
      <c r="Y85" s="12"/>
      <c r="Z85" s="12"/>
      <c r="AA85" s="12"/>
      <c r="AB85" s="12"/>
      <c r="AC85" s="12"/>
      <c r="AD85" s="12"/>
      <c r="AE85" s="12"/>
      <c r="AF85" s="12"/>
      <c r="AG85" s="12"/>
      <c r="AH85" s="12"/>
      <c r="AI85" s="12"/>
      <c r="AJ85" s="15"/>
      <c r="AK85" s="12"/>
      <c r="AL85" s="15"/>
      <c r="AM85" s="12"/>
      <c r="AN85" s="12"/>
      <c r="AO85" s="12"/>
      <c r="AP85" s="12"/>
      <c r="AQ85" s="12"/>
      <c r="AR85" s="13"/>
      <c r="AS85" s="12"/>
      <c r="AT85" s="12"/>
      <c r="AU85" s="13"/>
      <c r="AV85" s="15"/>
      <c r="AW85" s="32"/>
      <c r="AX85" s="121"/>
      <c r="AY85" s="17"/>
      <c r="AZ85" s="119"/>
      <c r="BA85" s="119"/>
      <c r="BB85" s="119"/>
    </row>
    <row r="86" spans="1:55" x14ac:dyDescent="0.25">
      <c r="A86" s="8" t="s">
        <v>223</v>
      </c>
      <c r="B86" s="8" t="s">
        <v>244</v>
      </c>
      <c r="C86" s="18" t="s">
        <v>245</v>
      </c>
      <c r="D86" s="8" t="s">
        <v>83</v>
      </c>
      <c r="E86" s="8" t="s">
        <v>246</v>
      </c>
      <c r="F86" s="8">
        <v>3.5392253200000001E-2</v>
      </c>
      <c r="G86" s="10">
        <v>10554757</v>
      </c>
      <c r="H86" s="10"/>
      <c r="I86" s="12" t="s">
        <v>68</v>
      </c>
      <c r="J86" s="10">
        <v>4000000000</v>
      </c>
      <c r="K86" s="11">
        <f t="shared" si="12"/>
        <v>141569012.80000001</v>
      </c>
      <c r="L86" s="12">
        <f>J86-R86</f>
        <v>3360000000</v>
      </c>
      <c r="M86" s="11">
        <f>F86*L86</f>
        <v>118917970.752</v>
      </c>
      <c r="N86" s="12"/>
      <c r="O86" s="13"/>
      <c r="P86" s="12"/>
      <c r="Q86" s="13">
        <f t="shared" si="14"/>
        <v>0</v>
      </c>
      <c r="R86" s="12">
        <f>16%*J86</f>
        <v>640000000</v>
      </c>
      <c r="S86" s="11">
        <f t="shared" si="15"/>
        <v>22651042.048</v>
      </c>
      <c r="T86" s="12"/>
      <c r="U86" s="12"/>
      <c r="V86" s="12"/>
      <c r="W86" s="12"/>
      <c r="X86" s="12"/>
      <c r="Y86" s="12"/>
      <c r="Z86" s="12"/>
      <c r="AA86" s="12"/>
      <c r="AB86" s="12"/>
      <c r="AC86" s="12"/>
      <c r="AD86" s="12"/>
      <c r="AE86" s="12"/>
      <c r="AF86" s="12"/>
      <c r="AG86" s="12"/>
      <c r="AH86" s="10">
        <v>1983000000</v>
      </c>
      <c r="AI86" s="10"/>
      <c r="AJ86" s="14"/>
      <c r="AK86" s="11"/>
      <c r="AL86" s="14"/>
      <c r="AM86" s="11"/>
      <c r="AN86" s="12"/>
      <c r="AO86" s="12"/>
      <c r="AP86" s="12"/>
      <c r="AQ86" s="12"/>
      <c r="AR86" s="13"/>
      <c r="AS86" s="12"/>
      <c r="AT86" s="12"/>
      <c r="AU86" s="13"/>
      <c r="AV86" s="15"/>
      <c r="AW86" s="32"/>
      <c r="AX86" s="121"/>
      <c r="AY86" s="17"/>
      <c r="AZ86" s="119"/>
      <c r="BA86" s="119"/>
      <c r="BB86" s="119"/>
    </row>
    <row r="87" spans="1:55" ht="21" customHeight="1" x14ac:dyDescent="0.25">
      <c r="A87" s="8" t="s">
        <v>223</v>
      </c>
      <c r="B87" s="8" t="s">
        <v>247</v>
      </c>
      <c r="C87" s="9" t="s">
        <v>248</v>
      </c>
      <c r="D87" s="73" t="s">
        <v>527</v>
      </c>
      <c r="E87" s="73" t="s">
        <v>110</v>
      </c>
      <c r="F87" s="73">
        <v>1.1998614888000001</v>
      </c>
      <c r="G87" s="74">
        <v>4400000</v>
      </c>
      <c r="H87" s="74"/>
      <c r="I87" s="75" t="s">
        <v>68</v>
      </c>
      <c r="J87" s="74">
        <v>92700000</v>
      </c>
      <c r="K87" s="76">
        <f t="shared" si="12"/>
        <v>111227160.01176001</v>
      </c>
      <c r="L87" s="75"/>
      <c r="M87" s="76"/>
      <c r="N87" s="75"/>
      <c r="O87" s="77"/>
      <c r="P87" s="75"/>
      <c r="Q87" s="77">
        <f t="shared" si="14"/>
        <v>0</v>
      </c>
      <c r="R87" s="75"/>
      <c r="S87" s="76">
        <f t="shared" si="15"/>
        <v>0</v>
      </c>
      <c r="T87" s="75"/>
      <c r="U87" s="75"/>
      <c r="V87" s="75"/>
      <c r="W87" s="75"/>
      <c r="X87" s="75"/>
      <c r="Y87" s="75"/>
      <c r="Z87" s="75"/>
      <c r="AA87" s="75"/>
      <c r="AB87" s="75"/>
      <c r="AC87" s="75"/>
      <c r="AD87" s="75"/>
      <c r="AE87" s="75"/>
      <c r="AF87" s="75"/>
      <c r="AG87" s="75"/>
      <c r="AH87" s="75"/>
      <c r="AI87" s="75"/>
      <c r="AJ87" s="78"/>
      <c r="AK87" s="75"/>
      <c r="AL87" s="78"/>
      <c r="AM87" s="75"/>
      <c r="AN87" s="75"/>
      <c r="AO87" s="75"/>
      <c r="AP87" s="75">
        <v>936</v>
      </c>
      <c r="AQ87" s="75">
        <v>74400000</v>
      </c>
      <c r="AR87" s="77">
        <f>AQ87*F87</f>
        <v>89269694.766720012</v>
      </c>
      <c r="AS87" s="75"/>
      <c r="AT87" s="75"/>
      <c r="AU87" s="77"/>
      <c r="AV87" s="78"/>
      <c r="AW87" s="89"/>
      <c r="AX87" s="125"/>
      <c r="AY87" s="80"/>
      <c r="AZ87" s="124"/>
      <c r="BA87" s="124"/>
      <c r="BB87" s="124"/>
    </row>
    <row r="88" spans="1:55" ht="18.75" customHeight="1" x14ac:dyDescent="0.25">
      <c r="A88" s="8" t="s">
        <v>223</v>
      </c>
      <c r="B88" s="8" t="s">
        <v>249</v>
      </c>
      <c r="C88" s="18" t="s">
        <v>250</v>
      </c>
      <c r="D88" s="8" t="s">
        <v>83</v>
      </c>
      <c r="E88" s="8" t="s">
        <v>251</v>
      </c>
      <c r="F88" s="8">
        <v>1</v>
      </c>
      <c r="G88" s="10">
        <v>2448250</v>
      </c>
      <c r="H88" s="10"/>
      <c r="I88" s="12">
        <v>10621</v>
      </c>
      <c r="J88" s="10">
        <f>1575000000*7%</f>
        <v>110250000.00000001</v>
      </c>
      <c r="K88" s="11">
        <f t="shared" si="12"/>
        <v>110250000.00000001</v>
      </c>
      <c r="M88" s="11"/>
      <c r="N88" s="12"/>
      <c r="O88" s="13"/>
      <c r="P88" s="12"/>
      <c r="Q88" s="13">
        <f t="shared" si="14"/>
        <v>0</v>
      </c>
      <c r="R88" s="12"/>
      <c r="S88" s="11">
        <f t="shared" si="15"/>
        <v>0</v>
      </c>
      <c r="T88" s="12"/>
      <c r="U88" s="12"/>
      <c r="V88" s="12"/>
      <c r="W88" s="12"/>
      <c r="X88" s="12"/>
      <c r="Y88" s="12"/>
      <c r="Z88" s="12"/>
      <c r="AA88" s="12"/>
      <c r="AB88" s="12"/>
      <c r="AC88" s="12"/>
      <c r="AD88" s="12"/>
      <c r="AE88" s="12"/>
      <c r="AF88" s="12"/>
      <c r="AG88" s="12"/>
      <c r="AH88" s="12"/>
      <c r="AI88" s="12"/>
      <c r="AJ88" s="15"/>
      <c r="AK88" s="12"/>
      <c r="AL88" s="15"/>
      <c r="AM88" s="12"/>
      <c r="AN88" s="12"/>
      <c r="AO88" s="12"/>
      <c r="AP88" s="12"/>
      <c r="AQ88" s="12">
        <f>8%*462000000</f>
        <v>36960000</v>
      </c>
      <c r="AR88" s="13">
        <f>AQ88*F88</f>
        <v>36960000</v>
      </c>
      <c r="AS88" s="12"/>
      <c r="AT88" s="12"/>
      <c r="AU88" s="13"/>
      <c r="AV88" s="15"/>
      <c r="AW88" s="32"/>
      <c r="AX88" s="121"/>
      <c r="AY88" s="17"/>
      <c r="AZ88" s="119"/>
      <c r="BA88" s="119"/>
      <c r="BB88" s="119"/>
    </row>
    <row r="89" spans="1:55" ht="18.75" customHeight="1" x14ac:dyDescent="0.25">
      <c r="A89" s="8" t="s">
        <v>252</v>
      </c>
      <c r="B89" s="8" t="s">
        <v>253</v>
      </c>
      <c r="C89" s="18" t="s">
        <v>254</v>
      </c>
      <c r="D89" s="47" t="s">
        <v>83</v>
      </c>
      <c r="E89" s="47" t="s">
        <v>255</v>
      </c>
      <c r="F89" s="47">
        <v>0.14032723920000001</v>
      </c>
      <c r="G89" s="48">
        <v>2323065</v>
      </c>
      <c r="H89" s="48"/>
      <c r="I89" s="50">
        <v>21496</v>
      </c>
      <c r="J89" s="48">
        <v>349622152</v>
      </c>
      <c r="K89" s="49"/>
      <c r="L89" s="50">
        <v>204915141</v>
      </c>
      <c r="M89" s="49"/>
      <c r="N89" s="50">
        <v>89341332</v>
      </c>
      <c r="O89" s="51"/>
      <c r="P89" s="50">
        <f>(51353452+1036727)</f>
        <v>52390179</v>
      </c>
      <c r="Q89" s="51"/>
      <c r="R89" s="50">
        <f>J89-L89</f>
        <v>144707011</v>
      </c>
      <c r="S89" s="49"/>
      <c r="T89" s="50"/>
      <c r="U89" s="50"/>
      <c r="V89" s="108"/>
      <c r="W89" s="50"/>
      <c r="X89" s="50">
        <v>48275698</v>
      </c>
      <c r="Y89" s="50"/>
      <c r="Z89" s="50"/>
      <c r="AA89" s="50"/>
      <c r="AB89" s="50"/>
      <c r="AC89" s="50"/>
      <c r="AD89" s="50">
        <v>1950851</v>
      </c>
      <c r="AE89" s="50"/>
      <c r="AF89" s="50">
        <v>2704816</v>
      </c>
      <c r="AG89" s="49"/>
      <c r="AH89" s="50">
        <v>260502302</v>
      </c>
      <c r="AI89" s="50"/>
      <c r="AJ89" s="52">
        <f>5077814+3324116+952938</f>
        <v>9354868</v>
      </c>
      <c r="AK89" s="49"/>
      <c r="AL89" s="52">
        <v>10419553</v>
      </c>
      <c r="AM89" s="49"/>
      <c r="AN89" s="50">
        <v>91563817</v>
      </c>
      <c r="AO89" s="50"/>
      <c r="AP89" s="50"/>
      <c r="AQ89" s="50">
        <v>149650714</v>
      </c>
      <c r="AR89" s="51"/>
      <c r="AS89" s="50"/>
      <c r="AT89" s="50">
        <v>89159850</v>
      </c>
      <c r="AU89" s="51"/>
      <c r="AV89" s="56">
        <v>72381707</v>
      </c>
      <c r="AW89" s="98"/>
      <c r="AX89" s="122">
        <v>1709000461</v>
      </c>
      <c r="AY89" s="55"/>
      <c r="AZ89" s="120">
        <f>(AX89+1379680860)/2</f>
        <v>1544340660.5</v>
      </c>
      <c r="BA89" s="120">
        <v>571520000</v>
      </c>
      <c r="BB89" s="120">
        <v>324127000</v>
      </c>
    </row>
    <row r="90" spans="1:55" ht="18.75" customHeight="1" x14ac:dyDescent="0.25">
      <c r="A90" s="8" t="s">
        <v>252</v>
      </c>
      <c r="B90" s="8" t="s">
        <v>256</v>
      </c>
      <c r="C90" s="18" t="s">
        <v>257</v>
      </c>
      <c r="D90" s="96" t="s">
        <v>527</v>
      </c>
      <c r="E90" s="96" t="s">
        <v>110</v>
      </c>
      <c r="F90" s="96">
        <v>1.1998614888000001</v>
      </c>
      <c r="G90" s="52">
        <v>5558363</v>
      </c>
      <c r="H90" s="52"/>
      <c r="I90" s="56">
        <v>41060</v>
      </c>
      <c r="J90" s="52">
        <v>74000000</v>
      </c>
      <c r="K90" s="52">
        <f t="shared" ref="K90:K153" si="19">J90*F90</f>
        <v>88789750.171200007</v>
      </c>
      <c r="L90" s="56"/>
      <c r="M90" s="52"/>
      <c r="N90" s="56"/>
      <c r="O90" s="56"/>
      <c r="P90" s="56"/>
      <c r="Q90" s="56"/>
      <c r="R90" s="56"/>
      <c r="S90" s="52"/>
      <c r="T90" s="56"/>
      <c r="U90" s="56"/>
      <c r="V90" s="56"/>
      <c r="W90" s="56"/>
      <c r="X90" s="56"/>
      <c r="Y90" s="56"/>
      <c r="Z90" s="56"/>
      <c r="AA90" s="56"/>
      <c r="AB90" s="56"/>
      <c r="AC90" s="56"/>
      <c r="AD90" s="56"/>
      <c r="AE90" s="56"/>
      <c r="AF90" s="56"/>
      <c r="AG90" s="52"/>
      <c r="AH90" s="56"/>
      <c r="AI90" s="56"/>
      <c r="AJ90" s="52"/>
      <c r="AK90" s="52"/>
      <c r="AL90" s="52"/>
      <c r="AM90" s="52"/>
      <c r="AN90" s="56"/>
      <c r="AO90" s="56"/>
      <c r="AP90" s="56"/>
      <c r="AQ90" s="56">
        <v>42000000</v>
      </c>
      <c r="AR90" s="56"/>
      <c r="AS90" s="56"/>
      <c r="AT90" s="96">
        <v>30000000</v>
      </c>
      <c r="AU90" s="96"/>
      <c r="AV90" s="56">
        <v>23200000</v>
      </c>
      <c r="AW90" s="89">
        <f>AV90*F90</f>
        <v>27836786.540160004</v>
      </c>
      <c r="AX90" s="120">
        <f>(186.3+20.6)*1000000</f>
        <v>206900000</v>
      </c>
      <c r="AY90" s="54">
        <f>AX90*F90</f>
        <v>248251342.03272003</v>
      </c>
      <c r="AZ90" s="120">
        <f>(AX90+190200000+22400000)/2</f>
        <v>209750000</v>
      </c>
      <c r="BA90" s="120">
        <v>18600000</v>
      </c>
      <c r="BB90" s="120">
        <v>49300000</v>
      </c>
    </row>
    <row r="91" spans="1:55" x14ac:dyDescent="0.25">
      <c r="A91" s="8" t="s">
        <v>252</v>
      </c>
      <c r="B91" s="8" t="s">
        <v>256</v>
      </c>
      <c r="C91" s="18" t="s">
        <v>258</v>
      </c>
      <c r="D91" s="8" t="s">
        <v>66</v>
      </c>
      <c r="E91" s="8" t="s">
        <v>259</v>
      </c>
      <c r="F91" s="8">
        <v>0.53840728360000001</v>
      </c>
      <c r="G91" s="10">
        <v>4979760</v>
      </c>
      <c r="H91" s="10"/>
      <c r="I91" s="12"/>
      <c r="J91" s="10">
        <v>82000000</v>
      </c>
      <c r="K91" s="11">
        <f t="shared" si="19"/>
        <v>44149397.255199999</v>
      </c>
      <c r="M91" s="11"/>
      <c r="N91" s="12"/>
      <c r="O91" s="13"/>
      <c r="P91" s="12"/>
      <c r="Q91" s="13">
        <f t="shared" si="14"/>
        <v>0</v>
      </c>
      <c r="R91" s="12"/>
      <c r="S91" s="11">
        <f t="shared" si="15"/>
        <v>0</v>
      </c>
      <c r="T91" s="12"/>
      <c r="U91" s="12"/>
      <c r="V91" s="12"/>
      <c r="W91" s="12"/>
      <c r="X91" s="12"/>
      <c r="Y91" s="12"/>
      <c r="Z91" s="12"/>
      <c r="AA91" s="12"/>
      <c r="AB91" s="12">
        <f>50990000+3043000</f>
        <v>54033000</v>
      </c>
      <c r="AC91" s="13">
        <f>AB91*F91</f>
        <v>29091760.754758801</v>
      </c>
      <c r="AD91" s="12">
        <v>1374000</v>
      </c>
      <c r="AE91" s="13">
        <f>AD91*F91</f>
        <v>739771.60766640003</v>
      </c>
      <c r="AF91" s="12">
        <v>2407000</v>
      </c>
      <c r="AG91" s="11">
        <f>AF91*F91</f>
        <v>1295946.3316252001</v>
      </c>
      <c r="AH91" s="12">
        <f>95787000+AS91</f>
        <v>97000000</v>
      </c>
      <c r="AI91" s="12"/>
      <c r="AJ91" s="15"/>
      <c r="AK91" s="12"/>
      <c r="AL91" s="15"/>
      <c r="AM91" s="12"/>
      <c r="AN91" s="34">
        <v>32712000</v>
      </c>
      <c r="AO91" s="34"/>
      <c r="AP91" s="12"/>
      <c r="AQ91" s="12"/>
      <c r="AR91" s="13"/>
      <c r="AS91" s="12">
        <v>1213000</v>
      </c>
      <c r="AT91" s="12">
        <f>J91-AH91</f>
        <v>-15000000</v>
      </c>
      <c r="AU91" s="13">
        <f>AT91*F91</f>
        <v>-8076109.2539999997</v>
      </c>
      <c r="AV91" s="15">
        <v>-13800000</v>
      </c>
      <c r="AW91" s="32">
        <f>AV91*F91</f>
        <v>-7430020.5136799999</v>
      </c>
      <c r="AX91" s="119"/>
      <c r="AY91" s="17"/>
      <c r="AZ91" s="119"/>
      <c r="BA91" s="119"/>
      <c r="BB91" s="119"/>
    </row>
    <row r="92" spans="1:55" x14ac:dyDescent="0.25">
      <c r="A92" s="8" t="s">
        <v>252</v>
      </c>
      <c r="B92" s="8" t="s">
        <v>260</v>
      </c>
      <c r="C92" s="18" t="s">
        <v>261</v>
      </c>
      <c r="D92" s="8" t="s">
        <v>66</v>
      </c>
      <c r="E92" s="8" t="s">
        <v>110</v>
      </c>
      <c r="F92" s="8">
        <v>1.0522549824</v>
      </c>
      <c r="G92" s="10">
        <v>12840000</v>
      </c>
      <c r="H92" s="10"/>
      <c r="I92" s="12" t="s">
        <v>0</v>
      </c>
      <c r="J92" s="10">
        <v>236000000</v>
      </c>
      <c r="K92" s="11">
        <f>J92*F92</f>
        <v>248332175.84640002</v>
      </c>
      <c r="M92" s="11"/>
      <c r="N92" s="12"/>
      <c r="O92" s="13"/>
      <c r="P92" s="12"/>
      <c r="Q92" s="13">
        <f t="shared" si="14"/>
        <v>0</v>
      </c>
      <c r="R92" s="12"/>
      <c r="S92" s="11">
        <f t="shared" si="15"/>
        <v>0</v>
      </c>
      <c r="T92" s="12"/>
      <c r="U92" s="12"/>
      <c r="V92" s="12"/>
      <c r="W92" s="12"/>
      <c r="X92" s="12"/>
      <c r="Y92" s="12"/>
      <c r="Z92" s="12"/>
      <c r="AA92" s="12"/>
      <c r="AB92" s="12"/>
      <c r="AC92" s="12"/>
      <c r="AD92" s="12"/>
      <c r="AE92" s="12"/>
      <c r="AF92" s="12"/>
      <c r="AG92" s="12"/>
      <c r="AH92" s="12">
        <v>630300000</v>
      </c>
      <c r="AI92" s="12"/>
      <c r="AJ92" s="14"/>
      <c r="AK92" s="11"/>
      <c r="AL92" s="14"/>
      <c r="AM92" s="11"/>
      <c r="AN92" s="12"/>
      <c r="AO92" s="12"/>
      <c r="AP92" s="12"/>
      <c r="AQ92" s="12"/>
      <c r="AR92" s="13"/>
      <c r="AS92" s="12"/>
      <c r="AT92" s="12"/>
      <c r="AU92" s="12"/>
      <c r="AV92" s="15"/>
      <c r="AW92" s="32"/>
      <c r="AX92" s="121"/>
      <c r="AY92" s="17"/>
      <c r="AZ92" s="119"/>
      <c r="BA92" s="119"/>
      <c r="BB92" s="119"/>
    </row>
    <row r="93" spans="1:55" ht="40.5" customHeight="1" x14ac:dyDescent="0.25">
      <c r="A93" s="8" t="s">
        <v>252</v>
      </c>
      <c r="B93" s="8" t="s">
        <v>262</v>
      </c>
      <c r="C93" s="9" t="s">
        <v>263</v>
      </c>
      <c r="D93" s="8" t="s">
        <v>83</v>
      </c>
      <c r="E93" s="8" t="s">
        <v>110</v>
      </c>
      <c r="F93" s="8">
        <v>1.1998614888000001</v>
      </c>
      <c r="G93" s="10">
        <v>1688558</v>
      </c>
      <c r="H93" s="10"/>
      <c r="I93" s="12">
        <v>34444</v>
      </c>
      <c r="J93" s="10">
        <v>41890000</v>
      </c>
      <c r="K93" s="11">
        <f t="shared" si="19"/>
        <v>50262197.765832007</v>
      </c>
      <c r="L93" s="12">
        <f>22639000+7740000</f>
        <v>30379000</v>
      </c>
      <c r="M93" s="11">
        <f>F93*L93</f>
        <v>36450592.168255202</v>
      </c>
      <c r="N93" s="12"/>
      <c r="O93" s="13"/>
      <c r="P93" s="12"/>
      <c r="Q93" s="13">
        <f t="shared" si="14"/>
        <v>0</v>
      </c>
      <c r="R93" s="12">
        <v>10602000</v>
      </c>
      <c r="S93" s="11">
        <f t="shared" si="15"/>
        <v>12720931.504257601</v>
      </c>
      <c r="T93" s="12"/>
      <c r="U93" s="12"/>
      <c r="V93" s="12"/>
      <c r="W93" s="12"/>
      <c r="X93" s="12"/>
      <c r="Y93" s="12"/>
      <c r="Z93" s="12"/>
      <c r="AA93" s="12"/>
      <c r="AB93" s="12"/>
      <c r="AC93" s="12"/>
      <c r="AD93" s="12"/>
      <c r="AE93" s="12"/>
      <c r="AF93" s="12"/>
      <c r="AG93" s="12"/>
      <c r="AH93" s="35">
        <f>30203000-16042000+AQ93</f>
        <v>30203000</v>
      </c>
      <c r="AI93" s="35"/>
      <c r="AJ93" s="14"/>
      <c r="AK93" s="11"/>
      <c r="AL93" s="14"/>
      <c r="AM93" s="11"/>
      <c r="AN93" s="35">
        <v>13073000</v>
      </c>
      <c r="AO93" s="11">
        <f>AN93*F93</f>
        <v>15685789.2430824</v>
      </c>
      <c r="AP93" s="35">
        <v>428</v>
      </c>
      <c r="AQ93" s="12">
        <v>16042000</v>
      </c>
      <c r="AR93" s="13">
        <f>AQ93*F93</f>
        <v>19248178.003329601</v>
      </c>
      <c r="AS93" s="12">
        <v>4356000</v>
      </c>
      <c r="AT93" s="12">
        <f>J93-AH93</f>
        <v>11687000</v>
      </c>
      <c r="AU93" s="13">
        <f>AT93*F93</f>
        <v>14022781.2196056</v>
      </c>
      <c r="AV93" s="15">
        <v>9647000</v>
      </c>
      <c r="AW93" s="32">
        <f>AV93*F93</f>
        <v>11575063.7824536</v>
      </c>
      <c r="AX93" s="119">
        <v>109706000</v>
      </c>
      <c r="AY93" s="17">
        <f>AX93*F93</f>
        <v>131632004.49029282</v>
      </c>
      <c r="AZ93" s="119">
        <f>(AX93+116810000)/2</f>
        <v>113258000</v>
      </c>
      <c r="BA93" s="119">
        <v>6938074</v>
      </c>
      <c r="BB93" s="119">
        <v>14000023</v>
      </c>
    </row>
    <row r="94" spans="1:55" ht="30" x14ac:dyDescent="0.25">
      <c r="A94" s="8" t="s">
        <v>252</v>
      </c>
      <c r="B94" s="8" t="s">
        <v>264</v>
      </c>
      <c r="C94" s="18" t="s">
        <v>265</v>
      </c>
      <c r="D94" s="8" t="s">
        <v>83</v>
      </c>
      <c r="E94" s="8" t="s">
        <v>110</v>
      </c>
      <c r="F94" s="8">
        <v>1.1998614888000001</v>
      </c>
      <c r="G94" s="10">
        <v>12029678</v>
      </c>
      <c r="H94" s="10"/>
      <c r="I94" s="12"/>
      <c r="J94" s="10">
        <v>104400000</v>
      </c>
      <c r="K94" s="11">
        <f t="shared" si="19"/>
        <v>125265539.43072002</v>
      </c>
      <c r="L94" s="12">
        <v>85036116</v>
      </c>
      <c r="M94" s="11">
        <f>F94*L94</f>
        <v>102031560.7455295</v>
      </c>
      <c r="N94" s="12"/>
      <c r="O94" s="13"/>
      <c r="P94" s="12"/>
      <c r="Q94" s="13">
        <f t="shared" si="14"/>
        <v>0</v>
      </c>
      <c r="R94" s="12">
        <v>19382422</v>
      </c>
      <c r="S94" s="11">
        <f t="shared" si="15"/>
        <v>23256221.717469875</v>
      </c>
      <c r="T94" s="12"/>
      <c r="U94" s="12"/>
      <c r="V94" s="12"/>
      <c r="W94" s="12"/>
      <c r="X94" s="12"/>
      <c r="Y94" s="12"/>
      <c r="Z94" s="12"/>
      <c r="AA94" s="12"/>
      <c r="AB94" s="12"/>
      <c r="AC94" s="12"/>
      <c r="AD94" s="12"/>
      <c r="AE94" s="12"/>
      <c r="AF94" s="12"/>
      <c r="AG94" s="12"/>
      <c r="AH94" s="12">
        <f>54275914+AS94</f>
        <v>70515112</v>
      </c>
      <c r="AI94" s="12"/>
      <c r="AJ94" s="14">
        <f>1443034+186235</f>
        <v>1629269</v>
      </c>
      <c r="AK94" s="11">
        <f>AJ94*F94</f>
        <v>1954897.1279956873</v>
      </c>
      <c r="AL94" s="14">
        <v>2868696</v>
      </c>
      <c r="AM94" s="11">
        <f>AL94*F94</f>
        <v>3442037.8534746049</v>
      </c>
      <c r="AN94" s="36">
        <v>6377497</v>
      </c>
      <c r="AO94" s="11">
        <f>AN94*F94</f>
        <v>7652113.0452375347</v>
      </c>
      <c r="AP94" s="36">
        <v>180</v>
      </c>
      <c r="AQ94" s="12">
        <f>AS94+AT94</f>
        <v>50124086</v>
      </c>
      <c r="AR94" s="13">
        <f>AQ94*F94</f>
        <v>60141960.452699244</v>
      </c>
      <c r="AS94" s="12">
        <v>16239198</v>
      </c>
      <c r="AT94" s="12">
        <f>J94-AH94</f>
        <v>33884888</v>
      </c>
      <c r="AU94" s="13">
        <f>AT94*F94</f>
        <v>40657172.163501255</v>
      </c>
      <c r="AV94" s="15">
        <v>1096816</v>
      </c>
      <c r="AW94" s="16">
        <f>AV94*F94</f>
        <v>1316027.2786996609</v>
      </c>
      <c r="AX94" s="119">
        <v>991353855</v>
      </c>
      <c r="AY94" s="17">
        <f>AX94*F94</f>
        <v>1189487312.3879194</v>
      </c>
      <c r="AZ94" s="119">
        <f>(AX94+12298896)/2</f>
        <v>501826375.5</v>
      </c>
      <c r="BA94" s="119">
        <v>38792928</v>
      </c>
      <c r="BB94" s="119">
        <v>79396008</v>
      </c>
      <c r="BC94" s="18" t="s">
        <v>266</v>
      </c>
    </row>
    <row r="95" spans="1:55" ht="30" x14ac:dyDescent="0.25">
      <c r="A95" s="8" t="s">
        <v>252</v>
      </c>
      <c r="B95" s="8" t="s">
        <v>264</v>
      </c>
      <c r="C95" s="18" t="s">
        <v>267</v>
      </c>
      <c r="D95" s="8" t="s">
        <v>83</v>
      </c>
      <c r="E95" s="8" t="s">
        <v>110</v>
      </c>
      <c r="F95" s="8">
        <v>1.1998614888000001</v>
      </c>
      <c r="G95" s="10">
        <v>15404230</v>
      </c>
      <c r="H95" s="10"/>
      <c r="I95" s="12"/>
      <c r="J95" s="10">
        <v>128900000</v>
      </c>
      <c r="K95" s="11">
        <f t="shared" si="19"/>
        <v>154662145.90632001</v>
      </c>
      <c r="L95" s="12">
        <v>102773362</v>
      </c>
      <c r="M95" s="11">
        <f>F95*L95</f>
        <v>123313799.13830136</v>
      </c>
      <c r="N95" s="12"/>
      <c r="O95" s="13"/>
      <c r="P95" s="12"/>
      <c r="Q95" s="13">
        <f t="shared" si="14"/>
        <v>0</v>
      </c>
      <c r="R95" s="12">
        <v>26146954</v>
      </c>
      <c r="S95" s="11">
        <f t="shared" si="15"/>
        <v>31372723.154025119</v>
      </c>
      <c r="T95" s="12"/>
      <c r="U95" s="12"/>
      <c r="V95" s="12"/>
      <c r="W95" s="12"/>
      <c r="X95" s="12"/>
      <c r="Y95" s="12"/>
      <c r="Z95" s="12"/>
      <c r="AA95" s="12"/>
      <c r="AB95" s="12"/>
      <c r="AC95" s="12"/>
      <c r="AD95" s="12"/>
      <c r="AE95" s="12"/>
      <c r="AF95" s="12"/>
      <c r="AG95" s="12"/>
      <c r="AH95" s="35">
        <f>61693226+AS95</f>
        <v>77505071</v>
      </c>
      <c r="AI95" s="35"/>
      <c r="AJ95" s="14">
        <f>2115604+216498</f>
        <v>2332102</v>
      </c>
      <c r="AK95" s="11">
        <f>AJ95*F95</f>
        <v>2798199.377753458</v>
      </c>
      <c r="AL95" s="14">
        <v>2856118</v>
      </c>
      <c r="AM95" s="11">
        <f>AL95*F95</f>
        <v>3426945.9956684788</v>
      </c>
      <c r="AN95" s="12">
        <v>7418314</v>
      </c>
      <c r="AO95" s="11">
        <f>AN95*F95</f>
        <v>8900949.2804258838</v>
      </c>
      <c r="AP95" s="35">
        <v>216</v>
      </c>
      <c r="AQ95" s="12">
        <f>AS95+AT95</f>
        <v>67206774</v>
      </c>
      <c r="AR95" s="13">
        <f>AQ95*F95</f>
        <v>80638819.90908514</v>
      </c>
      <c r="AS95" s="12">
        <v>15811845</v>
      </c>
      <c r="AT95" s="12">
        <f>J95-AH95</f>
        <v>51394929</v>
      </c>
      <c r="AU95" s="13">
        <f>AT95*F95</f>
        <v>61666796.026710302</v>
      </c>
      <c r="AV95" s="12">
        <v>13274487</v>
      </c>
      <c r="AW95" s="16">
        <f>AV95*F95</f>
        <v>15927545.734876247</v>
      </c>
      <c r="AX95" s="119">
        <v>983418096</v>
      </c>
      <c r="AY95" s="17">
        <f>AX95*F95</f>
        <v>1179965500.7794213</v>
      </c>
      <c r="AZ95" s="119">
        <f>(AX95+12455089)/2</f>
        <v>497936592.5</v>
      </c>
      <c r="BA95" s="119">
        <v>40250133</v>
      </c>
      <c r="BB95" s="119">
        <v>67205007</v>
      </c>
      <c r="BC95" s="18" t="s">
        <v>266</v>
      </c>
    </row>
    <row r="96" spans="1:55" x14ac:dyDescent="0.25">
      <c r="A96" s="8" t="s">
        <v>252</v>
      </c>
      <c r="B96" s="8" t="s">
        <v>264</v>
      </c>
      <c r="C96" s="18" t="s">
        <v>268</v>
      </c>
      <c r="D96" s="47" t="s">
        <v>527</v>
      </c>
      <c r="E96" s="47" t="s">
        <v>110</v>
      </c>
      <c r="F96" s="47">
        <v>1.1998614888000001</v>
      </c>
      <c r="G96" s="48">
        <v>24100000</v>
      </c>
      <c r="H96" s="48"/>
      <c r="I96" s="50">
        <v>217100</v>
      </c>
      <c r="J96" s="48">
        <v>495500000</v>
      </c>
      <c r="K96" s="49">
        <f t="shared" si="19"/>
        <v>594531367.70039999</v>
      </c>
      <c r="L96" s="50">
        <v>319000000</v>
      </c>
      <c r="M96" s="49"/>
      <c r="N96" s="50">
        <v>107700000</v>
      </c>
      <c r="O96" s="51">
        <f>N96*F96</f>
        <v>129225082.34376001</v>
      </c>
      <c r="P96" s="50">
        <f>(49.1+15.5)*1000000</f>
        <v>64599999.999999993</v>
      </c>
      <c r="Q96" s="51">
        <f t="shared" si="14"/>
        <v>77511052.176479995</v>
      </c>
      <c r="R96" s="50">
        <f>J96-L96</f>
        <v>176500000</v>
      </c>
      <c r="S96" s="49">
        <f t="shared" si="15"/>
        <v>211775552.77320001</v>
      </c>
      <c r="T96" s="50"/>
      <c r="U96" s="50"/>
      <c r="V96" s="50"/>
      <c r="W96" s="50"/>
      <c r="X96" s="50"/>
      <c r="Y96" s="50"/>
      <c r="Z96" s="50"/>
      <c r="AA96" s="50"/>
      <c r="AB96" s="50"/>
      <c r="AC96" s="51"/>
      <c r="AD96" s="50"/>
      <c r="AE96" s="50"/>
      <c r="AF96" s="50">
        <v>13800000</v>
      </c>
      <c r="AG96" s="49"/>
      <c r="AH96" s="94">
        <v>153200000</v>
      </c>
      <c r="AI96" s="94"/>
      <c r="AJ96" s="52">
        <v>9219180</v>
      </c>
      <c r="AK96" s="49"/>
      <c r="AL96" s="52"/>
      <c r="AM96" s="49"/>
      <c r="AN96" s="95">
        <v>45400000</v>
      </c>
      <c r="AO96" s="49">
        <f>AN96*F96</f>
        <v>54473711.591520004</v>
      </c>
      <c r="AP96" s="94">
        <f>589+153</f>
        <v>742</v>
      </c>
      <c r="AQ96" s="50">
        <v>342300000</v>
      </c>
      <c r="AR96" s="51"/>
      <c r="AS96" s="50">
        <v>77500000</v>
      </c>
      <c r="AT96" s="50">
        <v>239700000</v>
      </c>
      <c r="AU96" s="51"/>
      <c r="AV96" s="56">
        <v>171000000</v>
      </c>
      <c r="AW96" s="53">
        <f>AV96*F96</f>
        <v>205176314.5848</v>
      </c>
      <c r="AX96" s="122">
        <v>1359499219</v>
      </c>
      <c r="AY96" s="55">
        <f>AX96*F96</f>
        <v>1631210756.9317775</v>
      </c>
      <c r="AZ96" s="120">
        <f>(AX96+1246712001)/2*1000</f>
        <v>1303105610000</v>
      </c>
      <c r="BA96" s="120">
        <v>264195949</v>
      </c>
      <c r="BB96" s="120">
        <v>288257404</v>
      </c>
      <c r="BC96" s="37" t="s">
        <v>269</v>
      </c>
    </row>
    <row r="97" spans="1:55" x14ac:dyDescent="0.25">
      <c r="A97" s="8" t="s">
        <v>252</v>
      </c>
      <c r="B97" s="8" t="s">
        <v>270</v>
      </c>
      <c r="C97" s="18" t="s">
        <v>271</v>
      </c>
      <c r="D97" s="8" t="s">
        <v>83</v>
      </c>
      <c r="E97" s="8" t="s">
        <v>110</v>
      </c>
      <c r="F97" s="8">
        <v>1.1998614888000001</v>
      </c>
      <c r="G97" s="10">
        <v>5343000</v>
      </c>
      <c r="H97" s="10"/>
      <c r="I97" s="12">
        <v>58859</v>
      </c>
      <c r="J97" s="10">
        <v>84000000</v>
      </c>
      <c r="K97" s="11">
        <f t="shared" si="19"/>
        <v>100788365.0592</v>
      </c>
      <c r="M97" s="11"/>
      <c r="N97" s="12"/>
      <c r="O97" s="13"/>
      <c r="P97" s="12"/>
      <c r="Q97" s="13">
        <f t="shared" si="14"/>
        <v>0</v>
      </c>
      <c r="R97" s="12"/>
      <c r="S97" s="11">
        <f t="shared" si="15"/>
        <v>0</v>
      </c>
      <c r="T97" s="12"/>
      <c r="U97" s="12"/>
      <c r="V97" s="12"/>
      <c r="W97" s="12"/>
      <c r="X97" s="12"/>
      <c r="Y97" s="12"/>
      <c r="Z97" s="12"/>
      <c r="AA97" s="12"/>
      <c r="AB97" s="12"/>
      <c r="AC97" s="12"/>
      <c r="AD97" s="12"/>
      <c r="AE97" s="12"/>
      <c r="AF97" s="12"/>
      <c r="AG97" s="12"/>
      <c r="AH97" s="35"/>
      <c r="AI97" s="35"/>
      <c r="AJ97" s="36"/>
      <c r="AK97" s="35"/>
      <c r="AL97" s="36"/>
      <c r="AM97" s="35"/>
      <c r="AN97" s="35"/>
      <c r="AO97" s="35"/>
      <c r="AP97" s="35"/>
      <c r="AQ97" s="12"/>
      <c r="AR97" s="13"/>
      <c r="AS97" s="12"/>
      <c r="AT97" s="12"/>
      <c r="AU97" s="12"/>
      <c r="AV97" s="15"/>
      <c r="AW97" s="38"/>
      <c r="AX97" s="121"/>
      <c r="AY97" s="17"/>
      <c r="AZ97" s="119"/>
      <c r="BA97" s="119"/>
      <c r="BB97" s="119" t="s">
        <v>0</v>
      </c>
    </row>
    <row r="98" spans="1:55" x14ac:dyDescent="0.25">
      <c r="A98" s="8" t="s">
        <v>252</v>
      </c>
      <c r="B98" s="8" t="s">
        <v>272</v>
      </c>
      <c r="C98" s="9" t="s">
        <v>273</v>
      </c>
      <c r="D98" s="73" t="s">
        <v>527</v>
      </c>
      <c r="E98" s="73" t="s">
        <v>110</v>
      </c>
      <c r="F98" s="73">
        <v>1.1998614888000001</v>
      </c>
      <c r="G98" s="74">
        <v>2343000</v>
      </c>
      <c r="H98" s="74"/>
      <c r="I98" s="75"/>
      <c r="J98" s="74">
        <v>31200000</v>
      </c>
      <c r="K98" s="76">
        <f t="shared" si="19"/>
        <v>37435678.450560004</v>
      </c>
      <c r="L98" s="75"/>
      <c r="M98" s="76"/>
      <c r="N98" s="75"/>
      <c r="O98" s="77"/>
      <c r="P98" s="75"/>
      <c r="Q98" s="77">
        <f t="shared" si="14"/>
        <v>0</v>
      </c>
      <c r="R98" s="75"/>
      <c r="S98" s="76">
        <f t="shared" si="15"/>
        <v>0</v>
      </c>
      <c r="T98" s="75"/>
      <c r="U98" s="75"/>
      <c r="V98" s="75"/>
      <c r="W98" s="75"/>
      <c r="X98" s="75"/>
      <c r="Y98" s="75"/>
      <c r="Z98" s="75"/>
      <c r="AA98" s="75"/>
      <c r="AB98" s="75"/>
      <c r="AC98" s="75"/>
      <c r="AD98" s="75"/>
      <c r="AE98" s="75"/>
      <c r="AF98" s="75"/>
      <c r="AG98" s="75"/>
      <c r="AH98" s="91"/>
      <c r="AI98" s="91"/>
      <c r="AJ98" s="92"/>
      <c r="AK98" s="91"/>
      <c r="AL98" s="92"/>
      <c r="AM98" s="91"/>
      <c r="AN98" s="91"/>
      <c r="AO98" s="91"/>
      <c r="AP98" s="91">
        <v>681</v>
      </c>
      <c r="AQ98" s="74">
        <v>14300000</v>
      </c>
      <c r="AR98" s="77">
        <f t="shared" ref="AR98:AR104" si="20">AQ98*F98</f>
        <v>17158019.289840002</v>
      </c>
      <c r="AS98" s="75"/>
      <c r="AT98" s="75"/>
      <c r="AU98" s="75"/>
      <c r="AV98" s="78"/>
      <c r="AW98" s="90"/>
      <c r="AX98" s="125"/>
      <c r="AY98" s="80"/>
      <c r="AZ98" s="124"/>
      <c r="BA98" s="124"/>
      <c r="BB98" s="124"/>
    </row>
    <row r="99" spans="1:55" x14ac:dyDescent="0.25">
      <c r="A99" s="8" t="s">
        <v>252</v>
      </c>
      <c r="B99" s="8" t="s">
        <v>274</v>
      </c>
      <c r="C99" s="9" t="s">
        <v>275</v>
      </c>
      <c r="D99" s="73" t="s">
        <v>527</v>
      </c>
      <c r="E99" s="73" t="s">
        <v>110</v>
      </c>
      <c r="F99" s="73">
        <v>1.1998614888000001</v>
      </c>
      <c r="G99" s="74">
        <v>67981000</v>
      </c>
      <c r="H99" s="74"/>
      <c r="I99" s="75"/>
      <c r="J99" s="74">
        <v>506500000</v>
      </c>
      <c r="K99" s="76">
        <f t="shared" si="19"/>
        <v>607729844.07720006</v>
      </c>
      <c r="L99" s="75"/>
      <c r="M99" s="76"/>
      <c r="N99" s="75"/>
      <c r="O99" s="77"/>
      <c r="P99" s="75"/>
      <c r="Q99" s="77">
        <f t="shared" si="14"/>
        <v>0</v>
      </c>
      <c r="R99" s="75"/>
      <c r="S99" s="76">
        <f t="shared" si="15"/>
        <v>0</v>
      </c>
      <c r="T99" s="75"/>
      <c r="U99" s="75"/>
      <c r="V99" s="75"/>
      <c r="W99" s="75"/>
      <c r="X99" s="75"/>
      <c r="Y99" s="75"/>
      <c r="Z99" s="75"/>
      <c r="AA99" s="75"/>
      <c r="AB99" s="75"/>
      <c r="AC99" s="75"/>
      <c r="AD99" s="75"/>
      <c r="AE99" s="75"/>
      <c r="AF99" s="75"/>
      <c r="AG99" s="75"/>
      <c r="AH99" s="75"/>
      <c r="AI99" s="75"/>
      <c r="AJ99" s="78"/>
      <c r="AK99" s="75"/>
      <c r="AL99" s="78"/>
      <c r="AM99" s="75"/>
      <c r="AN99" s="75"/>
      <c r="AO99" s="75"/>
      <c r="AP99" s="75">
        <v>2993</v>
      </c>
      <c r="AQ99" s="74">
        <v>260600000</v>
      </c>
      <c r="AR99" s="77">
        <f t="shared" si="20"/>
        <v>312683903.98128003</v>
      </c>
      <c r="AS99" s="75"/>
      <c r="AT99" s="75"/>
      <c r="AU99" s="75"/>
      <c r="AV99" s="78"/>
      <c r="AW99" s="90"/>
      <c r="AX99" s="125"/>
      <c r="AY99" s="80"/>
      <c r="AZ99" s="124"/>
      <c r="BA99" s="124"/>
      <c r="BB99" s="124"/>
    </row>
    <row r="100" spans="1:55" x14ac:dyDescent="0.25">
      <c r="A100" s="8" t="s">
        <v>252</v>
      </c>
      <c r="B100" s="8" t="s">
        <v>274</v>
      </c>
      <c r="C100" s="9" t="s">
        <v>276</v>
      </c>
      <c r="D100" s="73" t="s">
        <v>527</v>
      </c>
      <c r="E100" s="73" t="s">
        <v>110</v>
      </c>
      <c r="F100" s="73">
        <v>1.1998614888000001</v>
      </c>
      <c r="G100" s="74">
        <v>16372000</v>
      </c>
      <c r="H100" s="74"/>
      <c r="I100" s="75"/>
      <c r="J100" s="74">
        <v>54200000</v>
      </c>
      <c r="K100" s="76">
        <f t="shared" si="19"/>
        <v>65032492.692960009</v>
      </c>
      <c r="L100" s="75"/>
      <c r="M100" s="76"/>
      <c r="N100" s="75"/>
      <c r="O100" s="77"/>
      <c r="P100" s="75"/>
      <c r="Q100" s="77">
        <f t="shared" si="14"/>
        <v>0</v>
      </c>
      <c r="R100" s="75"/>
      <c r="S100" s="76">
        <f t="shared" si="15"/>
        <v>0</v>
      </c>
      <c r="T100" s="75"/>
      <c r="U100" s="75"/>
      <c r="V100" s="75"/>
      <c r="W100" s="75"/>
      <c r="X100" s="75"/>
      <c r="Y100" s="75"/>
      <c r="Z100" s="75"/>
      <c r="AA100" s="75"/>
      <c r="AB100" s="75"/>
      <c r="AC100" s="75"/>
      <c r="AD100" s="75"/>
      <c r="AE100" s="75"/>
      <c r="AF100" s="75"/>
      <c r="AG100" s="75"/>
      <c r="AH100" s="75"/>
      <c r="AI100" s="75"/>
      <c r="AJ100" s="78"/>
      <c r="AK100" s="75"/>
      <c r="AL100" s="78"/>
      <c r="AM100" s="75"/>
      <c r="AN100" s="75"/>
      <c r="AO100" s="75"/>
      <c r="AP100" s="75">
        <v>941</v>
      </c>
      <c r="AQ100" s="74">
        <v>31000000</v>
      </c>
      <c r="AR100" s="77">
        <f t="shared" si="20"/>
        <v>37195706.152800001</v>
      </c>
      <c r="AS100" s="75"/>
      <c r="AT100" s="75"/>
      <c r="AU100" s="75"/>
      <c r="AV100" s="78"/>
      <c r="AW100" s="90"/>
      <c r="AX100" s="125"/>
      <c r="AY100" s="80"/>
      <c r="AZ100" s="124"/>
      <c r="BA100" s="124"/>
      <c r="BB100" s="124"/>
    </row>
    <row r="101" spans="1:55" x14ac:dyDescent="0.25">
      <c r="A101" s="8" t="s">
        <v>252</v>
      </c>
      <c r="B101" s="8" t="s">
        <v>274</v>
      </c>
      <c r="C101" s="9" t="s">
        <v>277</v>
      </c>
      <c r="D101" s="73" t="s">
        <v>527</v>
      </c>
      <c r="E101" s="73" t="s">
        <v>110</v>
      </c>
      <c r="F101" s="73">
        <v>1.1998614888000001</v>
      </c>
      <c r="G101" s="74">
        <v>13426000</v>
      </c>
      <c r="H101" s="74"/>
      <c r="I101" s="75"/>
      <c r="J101" s="74">
        <v>69400000</v>
      </c>
      <c r="K101" s="76">
        <f t="shared" si="19"/>
        <v>83270387.322720006</v>
      </c>
      <c r="L101" s="75"/>
      <c r="M101" s="76"/>
      <c r="N101" s="75"/>
      <c r="O101" s="77"/>
      <c r="P101" s="75"/>
      <c r="Q101" s="77">
        <f t="shared" si="14"/>
        <v>0</v>
      </c>
      <c r="R101" s="75"/>
      <c r="S101" s="76">
        <f t="shared" si="15"/>
        <v>0</v>
      </c>
      <c r="T101" s="75"/>
      <c r="U101" s="75"/>
      <c r="V101" s="75"/>
      <c r="W101" s="75"/>
      <c r="X101" s="75"/>
      <c r="Y101" s="75"/>
      <c r="Z101" s="75"/>
      <c r="AA101" s="75"/>
      <c r="AB101" s="75"/>
      <c r="AC101" s="75"/>
      <c r="AD101" s="75"/>
      <c r="AE101" s="75"/>
      <c r="AF101" s="75"/>
      <c r="AG101" s="75"/>
      <c r="AH101" s="75"/>
      <c r="AI101" s="75"/>
      <c r="AJ101" s="78"/>
      <c r="AK101" s="75"/>
      <c r="AL101" s="78"/>
      <c r="AM101" s="75"/>
      <c r="AN101" s="75"/>
      <c r="AO101" s="75"/>
      <c r="AP101" s="75">
        <v>928</v>
      </c>
      <c r="AQ101" s="74">
        <v>46200000</v>
      </c>
      <c r="AR101" s="77">
        <f t="shared" si="20"/>
        <v>55433600.782560006</v>
      </c>
      <c r="AS101" s="75"/>
      <c r="AT101" s="75"/>
      <c r="AU101" s="75"/>
      <c r="AV101" s="78"/>
      <c r="AW101" s="90" t="s">
        <v>0</v>
      </c>
      <c r="AX101" s="125"/>
      <c r="AY101" s="80"/>
      <c r="AZ101" s="124"/>
      <c r="BA101" s="124"/>
      <c r="BB101" s="124"/>
      <c r="BC101"/>
    </row>
    <row r="102" spans="1:55" ht="14.25" customHeight="1" x14ac:dyDescent="0.25">
      <c r="A102" s="8" t="s">
        <v>252</v>
      </c>
      <c r="B102" s="8" t="s">
        <v>274</v>
      </c>
      <c r="C102" s="9" t="s">
        <v>278</v>
      </c>
      <c r="D102" s="73" t="s">
        <v>527</v>
      </c>
      <c r="E102" s="73" t="s">
        <v>110</v>
      </c>
      <c r="F102" s="73">
        <v>1.1998614888000001</v>
      </c>
      <c r="G102" s="74">
        <v>1216000</v>
      </c>
      <c r="H102" s="74"/>
      <c r="I102" s="75"/>
      <c r="J102" s="74">
        <v>7100000</v>
      </c>
      <c r="K102" s="76">
        <f t="shared" si="19"/>
        <v>8519016.5704800002</v>
      </c>
      <c r="L102" s="75"/>
      <c r="M102" s="76"/>
      <c r="N102" s="75"/>
      <c r="O102" s="77"/>
      <c r="P102" s="75"/>
      <c r="Q102" s="77">
        <f t="shared" si="14"/>
        <v>0</v>
      </c>
      <c r="R102" s="75"/>
      <c r="S102" s="76">
        <f t="shared" si="15"/>
        <v>0</v>
      </c>
      <c r="T102" s="75"/>
      <c r="U102" s="75"/>
      <c r="V102" s="75"/>
      <c r="W102" s="75"/>
      <c r="X102" s="75"/>
      <c r="Y102" s="75"/>
      <c r="Z102" s="75"/>
      <c r="AA102" s="75"/>
      <c r="AB102" s="75"/>
      <c r="AC102" s="75"/>
      <c r="AD102" s="75"/>
      <c r="AE102" s="75"/>
      <c r="AF102" s="75"/>
      <c r="AG102" s="75"/>
      <c r="AH102" s="75"/>
      <c r="AI102" s="75"/>
      <c r="AJ102" s="78"/>
      <c r="AK102" s="75"/>
      <c r="AL102" s="78"/>
      <c r="AM102" s="75"/>
      <c r="AN102" s="75"/>
      <c r="AO102" s="75"/>
      <c r="AP102" s="75">
        <v>62</v>
      </c>
      <c r="AQ102" s="74">
        <v>4000000</v>
      </c>
      <c r="AR102" s="77">
        <f t="shared" si="20"/>
        <v>4799445.9552000007</v>
      </c>
      <c r="AS102" s="75"/>
      <c r="AT102" s="75"/>
      <c r="AU102" s="75"/>
      <c r="AV102" s="78"/>
      <c r="AW102" s="90"/>
      <c r="AX102" s="125"/>
      <c r="AY102" s="80"/>
      <c r="AZ102" s="124"/>
      <c r="BA102" s="124"/>
      <c r="BB102" s="124"/>
      <c r="BC102"/>
    </row>
    <row r="103" spans="1:55" ht="14.25" customHeight="1" x14ac:dyDescent="0.25">
      <c r="A103" s="8" t="s">
        <v>252</v>
      </c>
      <c r="B103" s="8" t="s">
        <v>274</v>
      </c>
      <c r="C103" s="9" t="s">
        <v>279</v>
      </c>
      <c r="D103" s="73" t="s">
        <v>527</v>
      </c>
      <c r="E103" s="73" t="s">
        <v>110</v>
      </c>
      <c r="F103" s="73">
        <v>1.1998614888000001</v>
      </c>
      <c r="G103" s="74">
        <v>4186000</v>
      </c>
      <c r="H103" s="74"/>
      <c r="I103" s="75"/>
      <c r="J103" s="74">
        <v>29000000</v>
      </c>
      <c r="K103" s="76">
        <f t="shared" si="19"/>
        <v>34795983.1752</v>
      </c>
      <c r="L103" s="75"/>
      <c r="M103" s="76"/>
      <c r="N103" s="75"/>
      <c r="O103" s="77"/>
      <c r="P103" s="75"/>
      <c r="Q103" s="77">
        <f t="shared" si="14"/>
        <v>0</v>
      </c>
      <c r="R103" s="75"/>
      <c r="S103" s="76">
        <f t="shared" si="15"/>
        <v>0</v>
      </c>
      <c r="T103" s="75"/>
      <c r="U103" s="75"/>
      <c r="V103" s="75"/>
      <c r="W103" s="75"/>
      <c r="X103" s="75"/>
      <c r="Y103" s="75"/>
      <c r="Z103" s="75"/>
      <c r="AA103" s="75"/>
      <c r="AB103" s="75"/>
      <c r="AC103" s="75"/>
      <c r="AD103" s="75"/>
      <c r="AE103" s="75"/>
      <c r="AF103" s="75"/>
      <c r="AG103" s="75"/>
      <c r="AH103" s="75"/>
      <c r="AI103" s="75"/>
      <c r="AJ103" s="78"/>
      <c r="AK103" s="75"/>
      <c r="AL103" s="78"/>
      <c r="AM103" s="75"/>
      <c r="AN103" s="75"/>
      <c r="AO103" s="75"/>
      <c r="AP103" s="75">
        <v>78</v>
      </c>
      <c r="AQ103" s="74">
        <v>20100000</v>
      </c>
      <c r="AR103" s="77">
        <f t="shared" si="20"/>
        <v>24117215.924880002</v>
      </c>
      <c r="AS103" s="75"/>
      <c r="AT103" s="75"/>
      <c r="AU103" s="75"/>
      <c r="AV103" s="78"/>
      <c r="AW103" s="90"/>
      <c r="AX103" s="125"/>
      <c r="AY103" s="80"/>
      <c r="AZ103" s="124"/>
      <c r="BA103" s="124"/>
      <c r="BB103" s="124"/>
      <c r="BC103"/>
    </row>
    <row r="104" spans="1:55" ht="14.25" customHeight="1" x14ac:dyDescent="0.25">
      <c r="A104" s="8" t="s">
        <v>252</v>
      </c>
      <c r="B104" s="8" t="s">
        <v>274</v>
      </c>
      <c r="C104" s="9" t="s">
        <v>530</v>
      </c>
      <c r="D104" s="73" t="s">
        <v>527</v>
      </c>
      <c r="E104" s="73" t="s">
        <v>110</v>
      </c>
      <c r="F104" s="73">
        <v>1.1998614888000001</v>
      </c>
      <c r="G104" s="74">
        <v>31566000</v>
      </c>
      <c r="H104" s="74"/>
      <c r="I104" s="75"/>
      <c r="J104" s="74">
        <v>324000000</v>
      </c>
      <c r="K104" s="76">
        <f t="shared" si="19"/>
        <v>388755122.37120003</v>
      </c>
      <c r="L104" s="75"/>
      <c r="M104" s="76"/>
      <c r="N104" s="75"/>
      <c r="O104" s="77"/>
      <c r="P104" s="75"/>
      <c r="Q104" s="77">
        <f t="shared" si="14"/>
        <v>0</v>
      </c>
      <c r="R104" s="75"/>
      <c r="S104" s="76">
        <f t="shared" si="15"/>
        <v>0</v>
      </c>
      <c r="T104" s="75"/>
      <c r="U104" s="75"/>
      <c r="V104" s="75"/>
      <c r="W104" s="75"/>
      <c r="X104" s="75"/>
      <c r="Y104" s="75"/>
      <c r="Z104" s="75"/>
      <c r="AA104" s="75"/>
      <c r="AB104" s="75"/>
      <c r="AC104" s="75"/>
      <c r="AD104" s="75"/>
      <c r="AE104" s="75"/>
      <c r="AF104" s="75"/>
      <c r="AG104" s="75"/>
      <c r="AH104" s="75"/>
      <c r="AI104" s="75"/>
      <c r="AJ104" s="78"/>
      <c r="AK104" s="75"/>
      <c r="AL104" s="78"/>
      <c r="AM104" s="75"/>
      <c r="AN104" s="75"/>
      <c r="AO104" s="75"/>
      <c r="AP104" s="75"/>
      <c r="AQ104" s="74">
        <v>158000000</v>
      </c>
      <c r="AR104" s="77">
        <f t="shared" si="20"/>
        <v>189578115.23040003</v>
      </c>
      <c r="AS104" s="75"/>
      <c r="AT104" s="75"/>
      <c r="AU104" s="75"/>
      <c r="AV104" s="78">
        <v>91400000</v>
      </c>
      <c r="AW104" s="89">
        <f>AV104*F104</f>
        <v>109667340.07632001</v>
      </c>
      <c r="AX104" s="124"/>
      <c r="AY104" s="80"/>
      <c r="AZ104" s="124"/>
      <c r="BA104" s="124"/>
      <c r="BB104" s="124"/>
      <c r="BC104"/>
    </row>
    <row r="105" spans="1:55" ht="14.25" customHeight="1" x14ac:dyDescent="0.25">
      <c r="A105" s="8" t="s">
        <v>252</v>
      </c>
      <c r="B105" s="8" t="s">
        <v>274</v>
      </c>
      <c r="C105" s="9" t="s">
        <v>280</v>
      </c>
      <c r="D105" s="73" t="s">
        <v>527</v>
      </c>
      <c r="E105" s="73" t="s">
        <v>110</v>
      </c>
      <c r="F105" s="73">
        <v>1.1998614888000001</v>
      </c>
      <c r="G105" s="74">
        <v>34100000</v>
      </c>
      <c r="H105" s="74"/>
      <c r="I105" s="75">
        <v>2247000</v>
      </c>
      <c r="J105" s="74">
        <v>274900000</v>
      </c>
      <c r="K105" s="76">
        <f t="shared" si="19"/>
        <v>329841923.27112001</v>
      </c>
      <c r="L105" s="75"/>
      <c r="M105" s="76"/>
      <c r="N105" s="75"/>
      <c r="O105" s="77"/>
      <c r="P105" s="75"/>
      <c r="Q105" s="77"/>
      <c r="R105" s="75"/>
      <c r="S105" s="76"/>
      <c r="T105" s="75"/>
      <c r="U105" s="75"/>
      <c r="V105" s="84"/>
      <c r="W105" s="75"/>
      <c r="X105" s="75"/>
      <c r="Y105" s="77"/>
      <c r="Z105" s="75"/>
      <c r="AA105" s="77"/>
      <c r="AB105" s="75"/>
      <c r="AC105" s="77"/>
      <c r="AD105" s="75"/>
      <c r="AE105" s="75"/>
      <c r="AF105" s="75"/>
      <c r="AG105" s="76"/>
      <c r="AH105" s="75"/>
      <c r="AI105" s="75"/>
      <c r="AJ105" s="78"/>
      <c r="AK105" s="76"/>
      <c r="AL105" s="78"/>
      <c r="AM105" s="76"/>
      <c r="AN105" s="75"/>
      <c r="AO105" s="75"/>
      <c r="AP105" s="75"/>
      <c r="AQ105" s="75"/>
      <c r="AR105" s="77"/>
      <c r="AS105" s="75"/>
      <c r="AT105" s="93"/>
      <c r="AU105" s="77"/>
      <c r="AV105" s="78"/>
      <c r="AW105" s="79"/>
      <c r="AX105" s="124"/>
      <c r="AY105" s="80"/>
      <c r="AZ105" s="124"/>
      <c r="BA105" s="124"/>
      <c r="BB105" s="124"/>
      <c r="BC105"/>
    </row>
    <row r="106" spans="1:55" x14ac:dyDescent="0.25">
      <c r="A106" s="8" t="s">
        <v>281</v>
      </c>
      <c r="B106" s="8" t="s">
        <v>282</v>
      </c>
      <c r="C106" s="18" t="s">
        <v>283</v>
      </c>
      <c r="D106" s="8" t="s">
        <v>83</v>
      </c>
      <c r="E106" s="8" t="s">
        <v>284</v>
      </c>
      <c r="F106" s="8">
        <v>4.5999999999999999E-2</v>
      </c>
      <c r="G106" s="10">
        <v>15415001</v>
      </c>
      <c r="H106" s="10"/>
      <c r="I106" s="12">
        <v>148283</v>
      </c>
      <c r="J106" s="10">
        <v>7368826000</v>
      </c>
      <c r="K106" s="11">
        <f t="shared" si="19"/>
        <v>338965996</v>
      </c>
      <c r="L106" s="12">
        <v>5594272000</v>
      </c>
      <c r="M106" s="11">
        <f t="shared" ref="M106:M119" si="21">F106*L106</f>
        <v>257336512</v>
      </c>
      <c r="N106" s="12"/>
      <c r="O106" s="13"/>
      <c r="P106" s="12"/>
      <c r="Q106" s="13">
        <f t="shared" si="14"/>
        <v>0</v>
      </c>
      <c r="R106" s="12">
        <v>1774554000</v>
      </c>
      <c r="S106" s="11">
        <f t="shared" si="15"/>
        <v>81629484</v>
      </c>
      <c r="T106" s="12"/>
      <c r="U106" s="12"/>
      <c r="V106" s="12"/>
      <c r="W106" s="12"/>
      <c r="X106" s="12"/>
      <c r="Y106" s="12"/>
      <c r="Z106" s="12"/>
      <c r="AA106" s="12"/>
      <c r="AB106" s="12"/>
      <c r="AC106" s="12"/>
      <c r="AD106" s="12"/>
      <c r="AE106" s="12"/>
      <c r="AF106" s="12"/>
      <c r="AG106" s="12"/>
      <c r="AH106" s="12">
        <f>J106-AT106</f>
        <v>4814798000</v>
      </c>
      <c r="AI106" s="12"/>
      <c r="AJ106" s="14"/>
      <c r="AK106" s="11"/>
      <c r="AL106" s="14"/>
      <c r="AM106" s="11"/>
      <c r="AN106" s="12">
        <v>1367265000</v>
      </c>
      <c r="AO106" s="11">
        <f>AN106*F106</f>
        <v>62894190</v>
      </c>
      <c r="AP106" s="12">
        <v>1995</v>
      </c>
      <c r="AQ106" s="12">
        <f>AS106+AT106</f>
        <v>2910858000</v>
      </c>
      <c r="AR106" s="13">
        <f>AQ106*F106</f>
        <v>133899468</v>
      </c>
      <c r="AS106" s="12">
        <v>356830000</v>
      </c>
      <c r="AT106" s="12">
        <v>2554028000</v>
      </c>
      <c r="AU106" s="13">
        <f>AT106*F106</f>
        <v>117485288</v>
      </c>
      <c r="AV106" s="12">
        <v>2046186000</v>
      </c>
      <c r="AW106" s="16">
        <f>AV106*F106</f>
        <v>94124556</v>
      </c>
      <c r="AX106" s="119">
        <v>10984878000</v>
      </c>
      <c r="AY106" s="17">
        <f>AX106*F106</f>
        <v>505304388</v>
      </c>
      <c r="AZ106" s="119">
        <f>(AX106+9544056000)/2</f>
        <v>10264467000</v>
      </c>
      <c r="BA106" s="119">
        <v>666385000</v>
      </c>
      <c r="BB106" s="119">
        <v>2238218000</v>
      </c>
      <c r="BC106"/>
    </row>
    <row r="107" spans="1:55" x14ac:dyDescent="0.25">
      <c r="A107" s="8" t="s">
        <v>281</v>
      </c>
      <c r="B107" s="8" t="s">
        <v>285</v>
      </c>
      <c r="C107" s="9" t="s">
        <v>286</v>
      </c>
      <c r="D107" s="8" t="s">
        <v>83</v>
      </c>
      <c r="E107" s="8" t="s">
        <v>110</v>
      </c>
      <c r="F107" s="8">
        <v>1.1998614888000001</v>
      </c>
      <c r="G107" s="10">
        <v>13100000</v>
      </c>
      <c r="H107" s="10"/>
      <c r="I107" s="12"/>
      <c r="J107" s="10">
        <v>257600000</v>
      </c>
      <c r="K107" s="11">
        <f t="shared" si="19"/>
        <v>309084319.51488</v>
      </c>
      <c r="L107" s="12">
        <f>J107-R107</f>
        <v>188048000</v>
      </c>
      <c r="M107" s="11">
        <f t="shared" si="21"/>
        <v>225631553.24586242</v>
      </c>
      <c r="N107" s="12"/>
      <c r="O107" s="13"/>
      <c r="P107" s="12"/>
      <c r="Q107" s="13">
        <f t="shared" si="14"/>
        <v>0</v>
      </c>
      <c r="R107" s="12">
        <f>27%*J107</f>
        <v>69552000</v>
      </c>
      <c r="S107" s="11">
        <f t="shared" si="15"/>
        <v>83452766.269017607</v>
      </c>
      <c r="T107" s="12"/>
      <c r="U107" s="12"/>
      <c r="V107" s="12"/>
      <c r="W107" s="12"/>
      <c r="X107" s="12"/>
      <c r="Y107" s="12"/>
      <c r="Z107" s="12"/>
      <c r="AA107" s="12"/>
      <c r="AB107" s="12"/>
      <c r="AC107" s="12"/>
      <c r="AD107" s="12"/>
      <c r="AE107" s="12"/>
      <c r="AF107" s="12"/>
      <c r="AG107" s="12"/>
      <c r="AH107" s="12"/>
      <c r="AI107" s="12"/>
      <c r="AJ107" s="15"/>
      <c r="AK107" s="12"/>
      <c r="AL107" s="15"/>
      <c r="AM107" s="12"/>
      <c r="AN107" s="12"/>
      <c r="AO107" s="12"/>
      <c r="AP107" s="12"/>
      <c r="AQ107" s="12">
        <v>197800000</v>
      </c>
      <c r="AR107" s="13">
        <f>AQ107*F107</f>
        <v>237332602.48464003</v>
      </c>
      <c r="AS107" s="12"/>
      <c r="AT107" s="12"/>
      <c r="AU107" s="12"/>
      <c r="AV107" s="15"/>
      <c r="AW107" s="16"/>
      <c r="AX107" s="121"/>
      <c r="AY107" s="17"/>
      <c r="AZ107" s="119"/>
      <c r="BA107" s="119"/>
      <c r="BB107" s="119"/>
      <c r="BC107"/>
    </row>
    <row r="108" spans="1:55" x14ac:dyDescent="0.25">
      <c r="A108" s="8" t="s">
        <v>281</v>
      </c>
      <c r="B108" s="8" t="s">
        <v>287</v>
      </c>
      <c r="C108" s="9" t="s">
        <v>288</v>
      </c>
      <c r="D108" s="73" t="s">
        <v>527</v>
      </c>
      <c r="E108" s="73" t="s">
        <v>289</v>
      </c>
      <c r="F108" s="73">
        <v>1.1998614888000001</v>
      </c>
      <c r="G108" s="74">
        <v>34400000</v>
      </c>
      <c r="H108" s="74"/>
      <c r="I108" s="75">
        <v>296087</v>
      </c>
      <c r="J108" s="74">
        <v>799700000</v>
      </c>
      <c r="K108" s="76">
        <f t="shared" si="19"/>
        <v>959529232.59336007</v>
      </c>
      <c r="L108" s="73"/>
      <c r="M108" s="73"/>
      <c r="N108" s="73"/>
      <c r="O108" s="73"/>
      <c r="P108" s="73"/>
      <c r="Q108" s="73"/>
      <c r="R108" s="73"/>
      <c r="S108" s="73"/>
      <c r="T108" s="75"/>
      <c r="U108" s="75"/>
      <c r="V108" s="75"/>
      <c r="W108" s="75"/>
      <c r="X108" s="73"/>
      <c r="Y108" s="73"/>
      <c r="Z108" s="75"/>
      <c r="AA108" s="75"/>
      <c r="AB108" s="73"/>
      <c r="AC108" s="73"/>
      <c r="AD108" s="75"/>
      <c r="AE108" s="75"/>
      <c r="AF108" s="73"/>
      <c r="AG108" s="73"/>
      <c r="AH108" s="75">
        <v>591200000</v>
      </c>
      <c r="AI108" s="75"/>
      <c r="AJ108" s="82"/>
      <c r="AK108" s="76"/>
      <c r="AL108" s="82"/>
      <c r="AM108" s="76"/>
      <c r="AN108" s="75">
        <v>301500000</v>
      </c>
      <c r="AO108" s="76">
        <f>AN108*F108</f>
        <v>361758238.87320006</v>
      </c>
      <c r="AP108" s="75">
        <v>4927</v>
      </c>
      <c r="AQ108" s="75">
        <v>350400000</v>
      </c>
      <c r="AR108" s="77">
        <f>AQ108*F108</f>
        <v>420431465.67552006</v>
      </c>
      <c r="AS108" s="75"/>
      <c r="AT108" s="75">
        <v>220800000</v>
      </c>
      <c r="AU108" s="77">
        <f>AT108*F108</f>
        <v>264929416.72704002</v>
      </c>
      <c r="AV108" s="78">
        <v>151900000</v>
      </c>
      <c r="AW108" s="79">
        <f>AV108*F108</f>
        <v>182258960.14872003</v>
      </c>
      <c r="AX108" s="124">
        <v>2158100000</v>
      </c>
      <c r="AY108" s="80">
        <f>AX108*F108</f>
        <v>2589421078.97928</v>
      </c>
      <c r="AZ108" s="124">
        <f>(2063000000+AX108)/2</f>
        <v>2110550000</v>
      </c>
      <c r="BA108" s="124">
        <v>311800000</v>
      </c>
      <c r="BB108" s="124">
        <v>291154700</v>
      </c>
      <c r="BC108" t="s">
        <v>290</v>
      </c>
    </row>
    <row r="109" spans="1:55" x14ac:dyDescent="0.25">
      <c r="A109" s="8" t="s">
        <v>281</v>
      </c>
      <c r="B109" s="8" t="s">
        <v>287</v>
      </c>
      <c r="C109" s="9" t="s">
        <v>291</v>
      </c>
      <c r="D109" s="73" t="s">
        <v>527</v>
      </c>
      <c r="E109" s="73" t="s">
        <v>289</v>
      </c>
      <c r="F109" s="73">
        <v>1.1998614888000001</v>
      </c>
      <c r="G109" s="74">
        <v>27000000</v>
      </c>
      <c r="H109" s="74"/>
      <c r="I109" s="75">
        <v>241004</v>
      </c>
      <c r="J109" s="74">
        <f>(392.3+166.1+132.9)*1000000</f>
        <v>691300000</v>
      </c>
      <c r="K109" s="76">
        <f t="shared" si="19"/>
        <v>829464247.20744002</v>
      </c>
      <c r="L109" s="75">
        <v>392300000</v>
      </c>
      <c r="M109" s="76">
        <f>F108*L109</f>
        <v>470705662.05624002</v>
      </c>
      <c r="N109" s="75">
        <v>262700000</v>
      </c>
      <c r="O109" s="77">
        <f>N109*F108</f>
        <v>315203613.10776001</v>
      </c>
      <c r="P109" s="75">
        <v>70200000</v>
      </c>
      <c r="Q109" s="77">
        <f>P109*F108</f>
        <v>84230276.51376</v>
      </c>
      <c r="R109" s="75">
        <f>(166.1+132.9)*1000000</f>
        <v>299000000</v>
      </c>
      <c r="S109" s="76">
        <f>R109*F108</f>
        <v>358758585.15120006</v>
      </c>
      <c r="T109" s="75"/>
      <c r="U109" s="75"/>
      <c r="V109" s="75"/>
      <c r="W109" s="75"/>
      <c r="X109" s="73"/>
      <c r="Y109" s="73"/>
      <c r="Z109" s="75"/>
      <c r="AA109" s="75"/>
      <c r="AB109" s="75">
        <v>51700000</v>
      </c>
      <c r="AC109" s="77">
        <f>AB109*F108</f>
        <v>62032838.970960006</v>
      </c>
      <c r="AD109" s="75"/>
      <c r="AE109" s="75"/>
      <c r="AF109" s="75">
        <v>44800000</v>
      </c>
      <c r="AG109" s="76">
        <f>AF109*F108</f>
        <v>53753794.698240004</v>
      </c>
      <c r="AH109" s="75"/>
      <c r="AI109" s="75"/>
      <c r="AJ109" s="82"/>
      <c r="AK109" s="76"/>
      <c r="AL109" s="82"/>
      <c r="AM109" s="76"/>
      <c r="AN109" s="75"/>
      <c r="AO109" s="76"/>
      <c r="AP109" s="75"/>
      <c r="AQ109" s="75"/>
      <c r="AR109" s="77"/>
      <c r="AS109" s="75"/>
      <c r="AT109" s="75"/>
      <c r="AU109" s="77"/>
      <c r="AV109" s="78"/>
      <c r="AW109" s="79"/>
      <c r="AX109" s="124"/>
      <c r="AY109" s="80" t="s">
        <v>0</v>
      </c>
      <c r="AZ109" s="124"/>
      <c r="BA109" s="124"/>
      <c r="BB109" s="124"/>
      <c r="BC109"/>
    </row>
    <row r="110" spans="1:55" x14ac:dyDescent="0.25">
      <c r="A110" s="8" t="s">
        <v>281</v>
      </c>
      <c r="B110" s="8" t="s">
        <v>287</v>
      </c>
      <c r="C110" s="9" t="s">
        <v>292</v>
      </c>
      <c r="D110" s="8" t="s">
        <v>83</v>
      </c>
      <c r="E110" s="8" t="s">
        <v>110</v>
      </c>
      <c r="F110" s="8">
        <v>1.1998614888000001</v>
      </c>
      <c r="G110" s="10">
        <v>1092547</v>
      </c>
      <c r="H110" s="10"/>
      <c r="I110" s="12">
        <v>46157</v>
      </c>
      <c r="J110" s="10">
        <v>37329742.140000001</v>
      </c>
      <c r="K110" s="11">
        <f t="shared" si="19"/>
        <v>44790519.980620503</v>
      </c>
      <c r="L110" s="12">
        <v>30063091</v>
      </c>
      <c r="M110" s="11">
        <f t="shared" si="21"/>
        <v>36071545.125189885</v>
      </c>
      <c r="N110" s="12"/>
      <c r="O110" s="13"/>
      <c r="P110" s="12"/>
      <c r="Q110" s="13">
        <f t="shared" si="14"/>
        <v>0</v>
      </c>
      <c r="R110" s="12">
        <v>7266651</v>
      </c>
      <c r="S110" s="11">
        <f t="shared" si="15"/>
        <v>8718974.6874500103</v>
      </c>
      <c r="T110" s="12"/>
      <c r="U110" s="12"/>
      <c r="V110" s="12"/>
      <c r="W110" s="12"/>
      <c r="X110" s="12"/>
      <c r="Y110" s="12"/>
      <c r="Z110" s="12"/>
      <c r="AA110" s="12"/>
      <c r="AB110" s="12"/>
      <c r="AC110" s="12"/>
      <c r="AD110" s="12"/>
      <c r="AE110" s="12"/>
      <c r="AF110" s="12"/>
      <c r="AG110" s="12"/>
      <c r="AH110" s="12">
        <f>J110-AT110</f>
        <v>28897742.140000001</v>
      </c>
      <c r="AI110" s="12"/>
      <c r="AJ110" s="14"/>
      <c r="AK110" s="11"/>
      <c r="AL110" s="14"/>
      <c r="AM110" s="11"/>
      <c r="AN110" s="12">
        <v>11694843.869999999</v>
      </c>
      <c r="AO110" s="11">
        <f>AN110*F110</f>
        <v>14032192.777141754</v>
      </c>
      <c r="AP110" s="12">
        <v>155</v>
      </c>
      <c r="AQ110" s="12">
        <v>12940000</v>
      </c>
      <c r="AR110" s="13">
        <f>AQ110*F110</f>
        <v>15526207.665072002</v>
      </c>
      <c r="AS110" s="12">
        <v>4507476</v>
      </c>
      <c r="AT110" s="12">
        <v>8432000</v>
      </c>
      <c r="AU110" s="13">
        <f>AT110*F110</f>
        <v>10117232.073561601</v>
      </c>
      <c r="AV110" s="15"/>
      <c r="AW110" s="16"/>
      <c r="AX110" s="121"/>
      <c r="AY110" s="17"/>
      <c r="AZ110" s="119"/>
      <c r="BA110" s="119"/>
      <c r="BB110" s="119"/>
      <c r="BC110"/>
    </row>
    <row r="111" spans="1:55" x14ac:dyDescent="0.25">
      <c r="A111" s="8" t="s">
        <v>281</v>
      </c>
      <c r="B111" s="8" t="s">
        <v>287</v>
      </c>
      <c r="C111" s="18" t="s">
        <v>293</v>
      </c>
      <c r="D111" s="8" t="s">
        <v>83</v>
      </c>
      <c r="E111" s="8" t="s">
        <v>110</v>
      </c>
      <c r="F111" s="8">
        <v>1.1998614888000001</v>
      </c>
      <c r="G111" s="10">
        <v>959098</v>
      </c>
      <c r="H111" s="10"/>
      <c r="I111" s="12">
        <v>14466</v>
      </c>
      <c r="J111" s="10">
        <v>33000000</v>
      </c>
      <c r="K111" s="11">
        <f t="shared" si="19"/>
        <v>39595429.130400002</v>
      </c>
      <c r="L111" s="12">
        <v>27300000</v>
      </c>
      <c r="M111" s="11">
        <f t="shared" si="21"/>
        <v>32756218.644240003</v>
      </c>
      <c r="N111" s="12"/>
      <c r="O111" s="13"/>
      <c r="P111" s="12"/>
      <c r="Q111" s="13">
        <f t="shared" si="14"/>
        <v>0</v>
      </c>
      <c r="R111" s="12">
        <v>6000000</v>
      </c>
      <c r="S111" s="11">
        <f t="shared" si="15"/>
        <v>7199168.9328000005</v>
      </c>
      <c r="T111" s="12"/>
      <c r="U111" s="12"/>
      <c r="V111" s="12"/>
      <c r="W111" s="12"/>
      <c r="X111" s="12"/>
      <c r="Y111" s="12"/>
      <c r="Z111" s="12"/>
      <c r="AA111" s="12"/>
      <c r="AB111" s="12"/>
      <c r="AC111" s="12"/>
      <c r="AD111" s="12"/>
      <c r="AE111" s="12"/>
      <c r="AF111" s="12"/>
      <c r="AG111" s="12"/>
      <c r="AH111" s="12">
        <f>J111-AT111</f>
        <v>26352535.120000001</v>
      </c>
      <c r="AI111" s="12"/>
      <c r="AJ111" s="14"/>
      <c r="AK111" s="11"/>
      <c r="AL111" s="14"/>
      <c r="AM111" s="11"/>
      <c r="AN111" s="12">
        <f>11833266.64</f>
        <v>11833266.640000001</v>
      </c>
      <c r="AO111" s="11">
        <f>AN111*F111</f>
        <v>14198280.928037776</v>
      </c>
      <c r="AP111" s="12">
        <v>200</v>
      </c>
      <c r="AQ111" s="12">
        <f>AS111+AT111</f>
        <v>10683963.33</v>
      </c>
      <c r="AR111" s="13">
        <f>AQ111*F111</f>
        <v>12819276.147418408</v>
      </c>
      <c r="AS111" s="12">
        <v>4036498.45</v>
      </c>
      <c r="AT111" s="12">
        <v>6647464.8799999999</v>
      </c>
      <c r="AU111" s="13">
        <f>AT111*F111</f>
        <v>7976037.1076625139</v>
      </c>
      <c r="AV111" s="15">
        <v>4730307.9000000004</v>
      </c>
      <c r="AW111" s="16">
        <f>AV111*F111</f>
        <v>5675714.2793764025</v>
      </c>
      <c r="AX111" s="128">
        <v>72565290</v>
      </c>
      <c r="AY111" s="17">
        <f>AX111*F111</f>
        <v>87068296.894603759</v>
      </c>
      <c r="AZ111" s="119"/>
      <c r="BA111" s="119"/>
      <c r="BB111" s="119"/>
      <c r="BC111"/>
    </row>
    <row r="112" spans="1:55" x14ac:dyDescent="0.25">
      <c r="A112" s="8" t="s">
        <v>281</v>
      </c>
      <c r="B112" s="8" t="s">
        <v>294</v>
      </c>
      <c r="C112" s="18" t="s">
        <v>295</v>
      </c>
      <c r="D112" s="8" t="s">
        <v>83</v>
      </c>
      <c r="E112" s="8" t="s">
        <v>110</v>
      </c>
      <c r="F112" s="8">
        <v>1.1998614888000001</v>
      </c>
      <c r="G112" s="10">
        <v>33526000</v>
      </c>
      <c r="H112" s="10"/>
      <c r="I112" s="12">
        <v>275014</v>
      </c>
      <c r="J112" s="10">
        <v>392420295</v>
      </c>
      <c r="K112" s="11">
        <f t="shared" si="19"/>
        <v>470849999.39403522</v>
      </c>
      <c r="L112" s="12">
        <v>271514000</v>
      </c>
      <c r="M112" s="11">
        <f t="shared" si="21"/>
        <v>325779192.27004325</v>
      </c>
      <c r="N112" s="12"/>
      <c r="O112" s="13"/>
      <c r="P112" s="12"/>
      <c r="Q112" s="13">
        <f t="shared" ref="Q112:Q161" si="22">P112*F112</f>
        <v>0</v>
      </c>
      <c r="R112" s="12">
        <f>J112-L112</f>
        <v>120906295</v>
      </c>
      <c r="S112" s="11">
        <f t="shared" ref="S112:S138" si="23">R112*F112</f>
        <v>145070807.123992</v>
      </c>
      <c r="T112" s="12"/>
      <c r="U112" s="12"/>
      <c r="V112" s="12"/>
      <c r="W112" s="12"/>
      <c r="X112" s="12"/>
      <c r="Y112" s="12"/>
      <c r="Z112" s="12"/>
      <c r="AA112" s="12"/>
      <c r="AB112" s="12"/>
      <c r="AC112" s="12"/>
      <c r="AD112" s="12"/>
      <c r="AE112" s="12"/>
      <c r="AF112" s="12"/>
      <c r="AG112" s="12"/>
      <c r="AH112" s="12">
        <f>98714116+86102783.68+136967149.68+AS112</f>
        <v>431617567.87</v>
      </c>
      <c r="AI112" s="12"/>
      <c r="AJ112" s="14"/>
      <c r="AK112" s="11"/>
      <c r="AL112" s="14"/>
      <c r="AM112" s="11"/>
      <c r="AN112" s="12">
        <v>136967149.68000001</v>
      </c>
      <c r="AO112" s="11">
        <f>AN112*F112</f>
        <v>164341608.13173726</v>
      </c>
      <c r="AP112" s="12">
        <v>2005</v>
      </c>
      <c r="AQ112" s="12">
        <f>AS112+AT112</f>
        <v>70636245.640000001</v>
      </c>
      <c r="AR112" s="13">
        <f>AQ112*F112</f>
        <v>84753710.856852919</v>
      </c>
      <c r="AS112" s="12">
        <f>109833518.51</f>
        <v>109833518.51000001</v>
      </c>
      <c r="AT112" s="19">
        <f>J112-AH112</f>
        <v>-39197272.870000005</v>
      </c>
      <c r="AU112" s="13">
        <f>AT112*F112</f>
        <v>-47031298.182698056</v>
      </c>
      <c r="AV112" s="15">
        <v>-83635144.790000007</v>
      </c>
      <c r="AW112" s="16">
        <f>AV112*F112</f>
        <v>-100350589.34373298</v>
      </c>
      <c r="AX112" s="119">
        <v>4751180782.6700001</v>
      </c>
      <c r="AY112" s="17">
        <f>AX112*F112</f>
        <v>5700758847.4523764</v>
      </c>
      <c r="AZ112" s="119">
        <f>(4452963929.27+AX112)/2</f>
        <v>4602072355.9700003</v>
      </c>
      <c r="BA112" s="119"/>
      <c r="BB112" s="119">
        <v>86546000</v>
      </c>
      <c r="BC112"/>
    </row>
    <row r="113" spans="1:55" x14ac:dyDescent="0.25">
      <c r="A113" s="8" t="s">
        <v>281</v>
      </c>
      <c r="B113" s="8" t="s">
        <v>294</v>
      </c>
      <c r="C113" s="18" t="s">
        <v>296</v>
      </c>
      <c r="D113" s="8" t="s">
        <v>83</v>
      </c>
      <c r="E113" s="8" t="s">
        <v>110</v>
      </c>
      <c r="F113" s="8">
        <v>1.1998614888000001</v>
      </c>
      <c r="G113" s="10">
        <v>12384800</v>
      </c>
      <c r="H113" s="10"/>
      <c r="I113" s="12">
        <v>141300</v>
      </c>
      <c r="J113" s="10">
        <f>325456000</f>
        <v>325456000</v>
      </c>
      <c r="K113" s="11">
        <f t="shared" si="19"/>
        <v>390502120.69889283</v>
      </c>
      <c r="L113" s="12">
        <f>207452000</f>
        <v>207452000</v>
      </c>
      <c r="M113" s="11">
        <f t="shared" si="21"/>
        <v>248913665.57453763</v>
      </c>
      <c r="N113" s="12"/>
      <c r="O113" s="13"/>
      <c r="P113" s="12"/>
      <c r="Q113" s="13">
        <f t="shared" si="22"/>
        <v>0</v>
      </c>
      <c r="R113" s="12">
        <v>106000000</v>
      </c>
      <c r="S113" s="11">
        <f t="shared" si="23"/>
        <v>127185317.81280001</v>
      </c>
      <c r="T113" s="12"/>
      <c r="U113" s="12"/>
      <c r="V113" s="12"/>
      <c r="W113" s="12"/>
      <c r="X113" s="12"/>
      <c r="Y113" s="12"/>
      <c r="Z113" s="12"/>
      <c r="AA113" s="12"/>
      <c r="AB113" s="12"/>
      <c r="AC113" s="12"/>
      <c r="AD113" s="12"/>
      <c r="AE113" s="12"/>
      <c r="AF113" s="12"/>
      <c r="AG113" s="12"/>
      <c r="AH113" s="12">
        <f>(J113-AT113)+AS113</f>
        <v>344657000</v>
      </c>
      <c r="AI113" s="12"/>
      <c r="AJ113" s="14"/>
      <c r="AK113" s="11"/>
      <c r="AL113" s="14"/>
      <c r="AM113" s="11"/>
      <c r="AN113" s="12">
        <v>126905105.2</v>
      </c>
      <c r="AO113" s="11">
        <f>AN113*F113</f>
        <v>152268548.46159264</v>
      </c>
      <c r="AP113" s="12">
        <v>1856</v>
      </c>
      <c r="AQ113" s="12">
        <v>52435000</v>
      </c>
      <c r="AR113" s="13">
        <f>AQ113*F113</f>
        <v>62914737.165228002</v>
      </c>
      <c r="AS113" s="12">
        <v>35700000</v>
      </c>
      <c r="AT113" s="12">
        <v>16499000</v>
      </c>
      <c r="AU113" s="13">
        <f>AT113*F113</f>
        <v>19796514.703711201</v>
      </c>
      <c r="AV113" s="15">
        <v>3811078.03</v>
      </c>
      <c r="AW113" s="16">
        <f>AV113*F113</f>
        <v>4572765.7590087708</v>
      </c>
      <c r="AX113" s="119">
        <v>722159925.38999999</v>
      </c>
      <c r="AY113" s="17">
        <f>AX113*F113</f>
        <v>866491883.23014235</v>
      </c>
      <c r="AZ113" s="119"/>
      <c r="BA113" s="119"/>
      <c r="BB113" s="119"/>
      <c r="BC113"/>
    </row>
    <row r="114" spans="1:55" x14ac:dyDescent="0.25">
      <c r="A114" s="8" t="s">
        <v>281</v>
      </c>
      <c r="B114" s="8" t="s">
        <v>294</v>
      </c>
      <c r="C114" s="18" t="s">
        <v>297</v>
      </c>
      <c r="D114" s="47" t="s">
        <v>527</v>
      </c>
      <c r="E114" s="47" t="s">
        <v>110</v>
      </c>
      <c r="F114" s="47">
        <v>1.1998614888000001</v>
      </c>
      <c r="G114" s="48">
        <v>24300000</v>
      </c>
      <c r="H114" s="48"/>
      <c r="I114" s="50">
        <v>218818</v>
      </c>
      <c r="J114" s="48">
        <v>474500000</v>
      </c>
      <c r="K114" s="49"/>
      <c r="L114" s="50"/>
      <c r="M114" s="49"/>
      <c r="N114" s="50"/>
      <c r="O114" s="51"/>
      <c r="P114" s="50"/>
      <c r="Q114" s="51"/>
      <c r="R114" s="50"/>
      <c r="S114" s="49"/>
      <c r="T114" s="50"/>
      <c r="U114" s="50"/>
      <c r="V114" s="50"/>
      <c r="W114" s="50"/>
      <c r="X114" s="50"/>
      <c r="Y114" s="50"/>
      <c r="Z114" s="50"/>
      <c r="AA114" s="50"/>
      <c r="AB114" s="50"/>
      <c r="AC114" s="50"/>
      <c r="AD114" s="50"/>
      <c r="AE114" s="50"/>
      <c r="AF114" s="50"/>
      <c r="AG114" s="50"/>
      <c r="AH114" s="50">
        <f>79996378.9+76016929.81+116459293.96+29951847.99+24081509.32+65233715.22</f>
        <v>391739675.20000005</v>
      </c>
      <c r="AI114" s="50"/>
      <c r="AJ114" s="52"/>
      <c r="AK114" s="49"/>
      <c r="AL114" s="52"/>
      <c r="AM114" s="49"/>
      <c r="AN114" s="50">
        <v>97319097.609999999</v>
      </c>
      <c r="AO114" s="49">
        <f>AN114*F114</f>
        <v>116769437.34700713</v>
      </c>
      <c r="AP114" s="50">
        <v>2307</v>
      </c>
      <c r="AQ114" s="50"/>
      <c r="AR114" s="51"/>
      <c r="AS114" s="50"/>
      <c r="AT114" s="50"/>
      <c r="AU114" s="51"/>
      <c r="AV114" s="56">
        <v>59100000</v>
      </c>
      <c r="AW114" s="53"/>
      <c r="AX114" s="120">
        <v>1135429679.4400001</v>
      </c>
      <c r="AY114" s="55"/>
      <c r="AZ114" s="120"/>
      <c r="BA114" s="120"/>
      <c r="BB114" s="120"/>
      <c r="BC114" t="s">
        <v>298</v>
      </c>
    </row>
    <row r="115" spans="1:55" ht="14.25" customHeight="1" x14ac:dyDescent="0.25">
      <c r="A115" s="8" t="s">
        <v>281</v>
      </c>
      <c r="B115" s="8" t="s">
        <v>294</v>
      </c>
      <c r="C115" s="9" t="s">
        <v>299</v>
      </c>
      <c r="D115" s="47" t="s">
        <v>527</v>
      </c>
      <c r="E115" s="47" t="s">
        <v>110</v>
      </c>
      <c r="F115" s="47">
        <v>1.1998614888000001</v>
      </c>
      <c r="G115" s="48">
        <v>69510269</v>
      </c>
      <c r="H115" s="48"/>
      <c r="I115" s="50">
        <v>512115</v>
      </c>
      <c r="J115" s="48">
        <f>(1006.4+507.2+673.8)*1000000</f>
        <v>2187399999.9999995</v>
      </c>
      <c r="K115" s="49">
        <f>J115*F115</f>
        <v>2624577020.6011195</v>
      </c>
      <c r="L115" s="50">
        <v>1006200000</v>
      </c>
      <c r="M115" s="49">
        <f t="shared" si="21"/>
        <v>1207300630.03056</v>
      </c>
      <c r="N115" s="50"/>
      <c r="O115" s="51"/>
      <c r="P115" s="50"/>
      <c r="Q115" s="51">
        <f t="shared" si="22"/>
        <v>0</v>
      </c>
      <c r="R115" s="50">
        <f>J115-L115</f>
        <v>1181199999.9999995</v>
      </c>
      <c r="S115" s="49">
        <f>R115*F115</f>
        <v>1417276390.5705595</v>
      </c>
      <c r="T115" s="50"/>
      <c r="U115" s="50"/>
      <c r="V115" s="50"/>
      <c r="W115" s="50"/>
      <c r="X115" s="50"/>
      <c r="Y115" s="50"/>
      <c r="Z115" s="50"/>
      <c r="AA115" s="50"/>
      <c r="AB115" s="50">
        <v>206800000</v>
      </c>
      <c r="AC115" s="51">
        <f>AB115*F115</f>
        <v>248131355.88384002</v>
      </c>
      <c r="AD115" s="50"/>
      <c r="AE115" s="50"/>
      <c r="AF115" s="50">
        <v>94800000</v>
      </c>
      <c r="AG115" s="49">
        <f>AF115*F115</f>
        <v>113746869.13824001</v>
      </c>
      <c r="AH115" s="50">
        <f>(360.6+57.1+139.6)+(54.2+126.8+88.2)+(461+54.8+43.7)*1000000</f>
        <v>559500826.5</v>
      </c>
      <c r="AI115" s="50"/>
      <c r="AJ115" s="52"/>
      <c r="AK115" s="49"/>
      <c r="AL115" s="52"/>
      <c r="AM115" s="49"/>
      <c r="AN115" s="50"/>
      <c r="AO115" s="49"/>
      <c r="AP115" s="50"/>
      <c r="AQ115" s="50">
        <f>(44.4+390.2+277.8)*1000000</f>
        <v>712400000</v>
      </c>
      <c r="AR115" s="51"/>
      <c r="AS115" s="50"/>
      <c r="AT115" s="50">
        <f>(138.2+302+0.7)*1000000</f>
        <v>440900000</v>
      </c>
      <c r="AU115" s="51"/>
      <c r="AV115" s="56"/>
      <c r="AW115" s="53"/>
      <c r="AX115" s="120"/>
      <c r="AY115" s="55"/>
      <c r="AZ115" s="120"/>
      <c r="BA115" s="120"/>
      <c r="BB115" s="120"/>
      <c r="BC115" s="39"/>
    </row>
    <row r="116" spans="1:55" x14ac:dyDescent="0.25">
      <c r="A116" s="8" t="s">
        <v>281</v>
      </c>
      <c r="B116" s="8" t="s">
        <v>294</v>
      </c>
      <c r="C116" s="9" t="s">
        <v>300</v>
      </c>
      <c r="D116" s="8" t="s">
        <v>83</v>
      </c>
      <c r="E116" s="8" t="s">
        <v>110</v>
      </c>
      <c r="F116" s="8">
        <v>1.1998614888000001</v>
      </c>
      <c r="G116" s="10">
        <v>17620000</v>
      </c>
      <c r="H116" s="10"/>
      <c r="I116" s="12">
        <v>159780</v>
      </c>
      <c r="J116" s="10">
        <v>264495131.66</v>
      </c>
      <c r="K116" s="11">
        <f t="shared" si="19"/>
        <v>317357522.45391965</v>
      </c>
      <c r="L116" s="12">
        <v>172200000</v>
      </c>
      <c r="M116" s="11">
        <f t="shared" si="21"/>
        <v>206616148.37136</v>
      </c>
      <c r="N116" s="12"/>
      <c r="O116" s="13"/>
      <c r="P116" s="12"/>
      <c r="Q116" s="13">
        <f t="shared" si="22"/>
        <v>0</v>
      </c>
      <c r="R116" s="12">
        <f>J116-L116</f>
        <v>92295131.659999996</v>
      </c>
      <c r="S116" s="11">
        <f t="shared" si="23"/>
        <v>110741374.08255962</v>
      </c>
      <c r="T116" s="12"/>
      <c r="U116" s="12"/>
      <c r="V116" s="12"/>
      <c r="W116" s="12"/>
      <c r="X116" s="12"/>
      <c r="Y116" s="12"/>
      <c r="Z116" s="12"/>
      <c r="AA116" s="12"/>
      <c r="AB116" s="12"/>
      <c r="AC116" s="12"/>
      <c r="AD116" s="12"/>
      <c r="AE116" s="12"/>
      <c r="AF116" s="12"/>
      <c r="AG116" s="12"/>
      <c r="AH116" s="12">
        <f>88205023.74+5145311.55+39198570+AS116</f>
        <v>167167218.28</v>
      </c>
      <c r="AI116" s="12"/>
      <c r="AJ116" s="14"/>
      <c r="AK116" s="11"/>
      <c r="AL116" s="14"/>
      <c r="AM116" s="11"/>
      <c r="AN116" s="12">
        <v>51453113.549999997</v>
      </c>
      <c r="AO116" s="11">
        <f>AN116*F116</f>
        <v>61736609.427498452</v>
      </c>
      <c r="AP116" s="12"/>
      <c r="AQ116" s="12">
        <f>AS116+AT116</f>
        <v>131946226.37</v>
      </c>
      <c r="AR116" s="13">
        <f>AQ116*F116</f>
        <v>158317195.61385003</v>
      </c>
      <c r="AS116" s="12">
        <v>34618312.990000002</v>
      </c>
      <c r="AT116" s="12">
        <f>J116-AH116</f>
        <v>97327913.379999995</v>
      </c>
      <c r="AU116" s="13">
        <f>AT116*F116</f>
        <v>116780015.04992424</v>
      </c>
      <c r="AV116" s="15">
        <v>46649318.140000001</v>
      </c>
      <c r="AW116" s="16">
        <f>AV116*F116</f>
        <v>55972720.314965256</v>
      </c>
      <c r="AX116" s="119">
        <v>599423471.05999994</v>
      </c>
      <c r="AY116" s="17">
        <f>AX116*F116</f>
        <v>719225138.40771532</v>
      </c>
      <c r="AZ116" s="119">
        <f>(AX116+548117178)/2</f>
        <v>573770324.52999997</v>
      </c>
      <c r="BA116" s="119" t="s">
        <v>6</v>
      </c>
      <c r="BB116" s="119">
        <v>79400000</v>
      </c>
      <c r="BC116"/>
    </row>
    <row r="117" spans="1:55" x14ac:dyDescent="0.25">
      <c r="A117" s="8" t="s">
        <v>281</v>
      </c>
      <c r="B117" s="8" t="s">
        <v>294</v>
      </c>
      <c r="C117" s="9" t="s">
        <v>301</v>
      </c>
      <c r="D117" s="8" t="s">
        <v>83</v>
      </c>
      <c r="E117" s="8" t="s">
        <v>110</v>
      </c>
      <c r="F117" s="8">
        <v>1.1998614888000001</v>
      </c>
      <c r="G117" s="10">
        <v>5870000</v>
      </c>
      <c r="H117" s="10"/>
      <c r="I117" s="12">
        <v>75256</v>
      </c>
      <c r="J117" s="10">
        <v>147552000</v>
      </c>
      <c r="K117" s="11">
        <f t="shared" si="19"/>
        <v>177041962.3954176</v>
      </c>
      <c r="L117" s="12">
        <v>92552000</v>
      </c>
      <c r="M117" s="11">
        <f t="shared" si="21"/>
        <v>111049580.51141761</v>
      </c>
      <c r="N117" s="12"/>
      <c r="O117" s="13"/>
      <c r="P117" s="12"/>
      <c r="Q117" s="13">
        <f t="shared" si="22"/>
        <v>0</v>
      </c>
      <c r="R117" s="12">
        <f>J117-L117</f>
        <v>55000000</v>
      </c>
      <c r="S117" s="11">
        <f t="shared" si="23"/>
        <v>65992381.884000003</v>
      </c>
      <c r="T117" s="12"/>
      <c r="U117" s="12"/>
      <c r="V117" s="12"/>
      <c r="W117" s="12"/>
      <c r="X117" s="12"/>
      <c r="Y117" s="12"/>
      <c r="Z117" s="12"/>
      <c r="AA117" s="12"/>
      <c r="AB117" s="12"/>
      <c r="AC117" s="12"/>
      <c r="AD117" s="12"/>
      <c r="AE117" s="12"/>
      <c r="AF117" s="12"/>
      <c r="AG117" s="12"/>
      <c r="AH117" s="12">
        <f>68174135.4+46640793.48+AS117+12250286.37</f>
        <v>143828038.53999999</v>
      </c>
      <c r="AI117" s="12"/>
      <c r="AJ117" s="14"/>
      <c r="AK117" s="11"/>
      <c r="AL117" s="14"/>
      <c r="AM117" s="11"/>
      <c r="AN117" s="12">
        <v>46641000</v>
      </c>
      <c r="AO117" s="11">
        <f>AN117*F117</f>
        <v>55962739.699120805</v>
      </c>
      <c r="AP117" s="12">
        <v>715</v>
      </c>
      <c r="AQ117" s="12">
        <f>AS117+AT117</f>
        <v>20486784.750000007</v>
      </c>
      <c r="AR117" s="13">
        <f>AQ117*F117</f>
        <v>24581304.050860148</v>
      </c>
      <c r="AS117" s="12">
        <v>16762823.289999999</v>
      </c>
      <c r="AT117" s="12">
        <f>J117-AH117</f>
        <v>3723961.4600000083</v>
      </c>
      <c r="AU117" s="13">
        <f>AT117*F117</f>
        <v>4468237.9416294321</v>
      </c>
      <c r="AV117" s="15">
        <v>2321865.5299999998</v>
      </c>
      <c r="AW117" s="16">
        <f>AV117*F117</f>
        <v>2785917.0316192009</v>
      </c>
      <c r="AX117" s="119">
        <v>291117864.27999997</v>
      </c>
      <c r="AY117" s="17">
        <f>AX117*F117</f>
        <v>349301114.05127716</v>
      </c>
      <c r="AZ117" s="119"/>
      <c r="BA117" s="119"/>
      <c r="BB117" s="119"/>
      <c r="BC117"/>
    </row>
    <row r="118" spans="1:55" x14ac:dyDescent="0.25">
      <c r="A118" s="8" t="s">
        <v>281</v>
      </c>
      <c r="B118" s="8" t="s">
        <v>294</v>
      </c>
      <c r="C118" s="9" t="s">
        <v>302</v>
      </c>
      <c r="D118" s="47" t="s">
        <v>532</v>
      </c>
      <c r="E118" s="47" t="s">
        <v>110</v>
      </c>
      <c r="F118" s="47">
        <v>1.1998614888000001</v>
      </c>
      <c r="G118" s="48">
        <v>46300000</v>
      </c>
      <c r="H118" s="48"/>
      <c r="I118" s="50">
        <v>413469</v>
      </c>
      <c r="J118" s="48">
        <v>1508817000</v>
      </c>
      <c r="K118" s="49">
        <f t="shared" si="19"/>
        <v>1810371411.9467497</v>
      </c>
      <c r="L118" s="50">
        <v>626726000</v>
      </c>
      <c r="M118" s="49">
        <f t="shared" si="21"/>
        <v>751984391.4296689</v>
      </c>
      <c r="N118" s="50"/>
      <c r="O118" s="51"/>
      <c r="P118" s="50"/>
      <c r="Q118" s="51"/>
      <c r="R118" s="50"/>
      <c r="S118" s="49"/>
      <c r="T118" s="50"/>
      <c r="U118" s="50"/>
      <c r="V118" s="50"/>
      <c r="W118" s="50"/>
      <c r="X118" s="50"/>
      <c r="Y118" s="51"/>
      <c r="Z118" s="50">
        <v>138673000</v>
      </c>
      <c r="AA118" s="51"/>
      <c r="AB118" s="50">
        <f>186766000</f>
        <v>186766000</v>
      </c>
      <c r="AC118" s="51"/>
      <c r="AD118" s="50"/>
      <c r="AE118" s="51"/>
      <c r="AF118" s="50">
        <v>99835000</v>
      </c>
      <c r="AG118" s="49"/>
      <c r="AH118" s="50">
        <f>(393602+507713+114318)*1000</f>
        <v>1015633000</v>
      </c>
      <c r="AI118" s="50"/>
      <c r="AJ118" s="52"/>
      <c r="AK118" s="49"/>
      <c r="AL118" s="52"/>
      <c r="AM118" s="49"/>
      <c r="AN118" s="50">
        <v>507713000</v>
      </c>
      <c r="AO118" s="49">
        <f>AN118*F118</f>
        <v>609185276.0631144</v>
      </c>
      <c r="AP118" s="50">
        <v>9568</v>
      </c>
      <c r="AQ118" s="50">
        <v>538078000</v>
      </c>
      <c r="AR118" s="51"/>
      <c r="AS118" s="50">
        <v>215862000</v>
      </c>
      <c r="AT118" s="50">
        <v>322216000</v>
      </c>
      <c r="AU118" s="51"/>
      <c r="AV118" s="56">
        <v>148733000</v>
      </c>
      <c r="AW118" s="53"/>
      <c r="AX118" s="120">
        <v>5350812000</v>
      </c>
      <c r="AY118" s="55">
        <f>AX118*F118</f>
        <v>6420233252.6089058</v>
      </c>
      <c r="AZ118" s="120">
        <f>(AX118+5306284000)/2</f>
        <v>5328548000</v>
      </c>
      <c r="BA118" s="120">
        <v>880507000</v>
      </c>
      <c r="BB118" s="120">
        <v>468296000</v>
      </c>
      <c r="BC118"/>
    </row>
    <row r="119" spans="1:55" x14ac:dyDescent="0.25">
      <c r="A119" s="8" t="s">
        <v>281</v>
      </c>
      <c r="B119" s="8" t="s">
        <v>303</v>
      </c>
      <c r="C119" s="9" t="s">
        <v>304</v>
      </c>
      <c r="D119" s="47" t="s">
        <v>527</v>
      </c>
      <c r="E119" s="47" t="s">
        <v>110</v>
      </c>
      <c r="F119" s="47">
        <v>1.1998614888000001</v>
      </c>
      <c r="G119" s="48">
        <v>2292712</v>
      </c>
      <c r="H119" s="48"/>
      <c r="I119" s="50">
        <v>30366</v>
      </c>
      <c r="J119" s="48">
        <v>32189000</v>
      </c>
      <c r="K119" s="49">
        <f t="shared" si="19"/>
        <v>38622341.462983206</v>
      </c>
      <c r="L119" s="50">
        <v>6125000</v>
      </c>
      <c r="M119" s="49">
        <f t="shared" si="21"/>
        <v>7349151.618900001</v>
      </c>
      <c r="N119" s="50"/>
      <c r="O119" s="51"/>
      <c r="P119" s="50"/>
      <c r="Q119" s="51"/>
      <c r="R119" s="50">
        <v>21148000</v>
      </c>
      <c r="S119" s="49"/>
      <c r="T119" s="50"/>
      <c r="U119" s="50"/>
      <c r="V119" s="50"/>
      <c r="W119" s="50"/>
      <c r="X119" s="50"/>
      <c r="Y119" s="50"/>
      <c r="Z119" s="50"/>
      <c r="AA119" s="50"/>
      <c r="AB119" s="50"/>
      <c r="AC119" s="50"/>
      <c r="AD119" s="50"/>
      <c r="AE119" s="50"/>
      <c r="AF119" s="50"/>
      <c r="AG119" s="49"/>
      <c r="AH119" s="50">
        <v>33355000</v>
      </c>
      <c r="AI119" s="50"/>
      <c r="AJ119" s="52"/>
      <c r="AK119" s="49"/>
      <c r="AL119" s="52"/>
      <c r="AM119" s="49"/>
      <c r="AN119" s="50">
        <v>12307000</v>
      </c>
      <c r="AO119" s="49">
        <f>AN119*F119</f>
        <v>14766695.342661601</v>
      </c>
      <c r="AP119" s="50">
        <v>608</v>
      </c>
      <c r="AQ119" s="50">
        <v>10652000</v>
      </c>
      <c r="AR119" s="51"/>
      <c r="AS119" s="50">
        <v>10473000</v>
      </c>
      <c r="AT119" s="56">
        <v>179000</v>
      </c>
      <c r="AU119" s="51"/>
      <c r="AV119" s="56">
        <v>-945000</v>
      </c>
      <c r="AW119" s="53"/>
      <c r="AX119" s="122"/>
      <c r="AY119" s="55"/>
      <c r="AZ119" s="120"/>
      <c r="BA119" s="120"/>
      <c r="BB119" s="120"/>
      <c r="BC119"/>
    </row>
    <row r="120" spans="1:55" x14ac:dyDescent="0.25">
      <c r="A120" s="8" t="s">
        <v>281</v>
      </c>
      <c r="B120" s="8" t="s">
        <v>305</v>
      </c>
      <c r="C120" s="9" t="s">
        <v>306</v>
      </c>
      <c r="D120" s="8" t="s">
        <v>307</v>
      </c>
      <c r="E120" s="8" t="s">
        <v>308</v>
      </c>
      <c r="F120" s="8">
        <v>0.2770519897</v>
      </c>
      <c r="G120" s="10">
        <v>22160262</v>
      </c>
      <c r="H120" s="10"/>
      <c r="I120" s="12"/>
      <c r="J120" s="10">
        <v>506700000</v>
      </c>
      <c r="K120" s="11">
        <f t="shared" si="19"/>
        <v>140382243.18099001</v>
      </c>
      <c r="L120" s="29"/>
      <c r="M120" s="11"/>
      <c r="N120" s="12"/>
      <c r="O120" s="13"/>
      <c r="P120" s="12"/>
      <c r="Q120" s="13">
        <f t="shared" si="22"/>
        <v>0</v>
      </c>
      <c r="R120" s="12"/>
      <c r="S120" s="11">
        <f t="shared" si="23"/>
        <v>0</v>
      </c>
      <c r="T120" s="12"/>
      <c r="U120" s="12"/>
      <c r="V120" s="12"/>
      <c r="W120" s="12"/>
      <c r="X120" s="12"/>
      <c r="Y120" s="12"/>
      <c r="Z120" s="12"/>
      <c r="AA120" s="12"/>
      <c r="AB120" s="12"/>
      <c r="AC120" s="12"/>
      <c r="AD120" s="12"/>
      <c r="AE120" s="12"/>
      <c r="AF120" s="12"/>
      <c r="AG120" s="12"/>
      <c r="AH120" s="12">
        <f>58%*J120</f>
        <v>293886000</v>
      </c>
      <c r="AI120" s="12"/>
      <c r="AJ120" s="14"/>
      <c r="AK120" s="11"/>
      <c r="AL120" s="14"/>
      <c r="AM120" s="11"/>
      <c r="AN120" s="12"/>
      <c r="AO120" s="12"/>
      <c r="AP120" s="12"/>
      <c r="AQ120" s="12">
        <v>295900000</v>
      </c>
      <c r="AR120" s="13">
        <f>AQ120*F120</f>
        <v>81979683.752230003</v>
      </c>
      <c r="AS120" s="12">
        <f>AQ120-AT120</f>
        <v>83086000</v>
      </c>
      <c r="AT120" s="12">
        <f>J120-AH120</f>
        <v>212814000</v>
      </c>
      <c r="AU120" s="12"/>
      <c r="AV120" s="15">
        <v>200000000</v>
      </c>
      <c r="AW120" s="16">
        <f>AV120*F120</f>
        <v>55410397.939999998</v>
      </c>
      <c r="AX120" s="119"/>
      <c r="AY120" s="17"/>
      <c r="AZ120" s="119" t="s">
        <v>0</v>
      </c>
      <c r="BA120" s="119"/>
      <c r="BB120" s="119"/>
      <c r="BC120"/>
    </row>
    <row r="121" spans="1:55" x14ac:dyDescent="0.25">
      <c r="A121" s="8" t="s">
        <v>309</v>
      </c>
      <c r="B121" s="8" t="s">
        <v>310</v>
      </c>
      <c r="C121" s="9" t="s">
        <v>311</v>
      </c>
      <c r="D121" s="47" t="s">
        <v>527</v>
      </c>
      <c r="E121" s="47" t="s">
        <v>110</v>
      </c>
      <c r="F121" s="47">
        <v>1.1998614888000001</v>
      </c>
      <c r="G121" s="48">
        <v>105300000</v>
      </c>
      <c r="H121" s="48"/>
      <c r="I121" s="50"/>
      <c r="J121" s="48">
        <f>(1890+1000+265)*1000000</f>
        <v>3155000000</v>
      </c>
      <c r="K121" s="49">
        <f t="shared" si="19"/>
        <v>3785562997.1640005</v>
      </c>
      <c r="L121" s="50">
        <f>1890000000</f>
        <v>1890000000</v>
      </c>
      <c r="M121" s="49"/>
      <c r="N121" s="50"/>
      <c r="O121" s="51"/>
      <c r="P121" s="50"/>
      <c r="Q121" s="51">
        <f t="shared" si="22"/>
        <v>0</v>
      </c>
      <c r="R121" s="50">
        <f>1000000000</f>
        <v>1000000000</v>
      </c>
      <c r="S121" s="49">
        <f t="shared" si="23"/>
        <v>1199861488.8000002</v>
      </c>
      <c r="T121" s="50"/>
      <c r="U121" s="50"/>
      <c r="V121" s="50"/>
      <c r="W121" s="50"/>
      <c r="X121" s="50">
        <f>(490+318)*1000000</f>
        <v>808000000</v>
      </c>
      <c r="Y121" s="51">
        <f>X121*F121</f>
        <v>969488082.95040011</v>
      </c>
      <c r="Z121" s="50">
        <v>48000000</v>
      </c>
      <c r="AA121" s="51">
        <f>Z121*F121</f>
        <v>57593351.462400004</v>
      </c>
      <c r="AB121" s="50">
        <f>X121+Z121</f>
        <v>856000000</v>
      </c>
      <c r="AC121" s="51">
        <f>AB121*F121</f>
        <v>1027081434.4128001</v>
      </c>
      <c r="AD121" s="50">
        <v>55000000</v>
      </c>
      <c r="AE121" s="51">
        <f>AD121*F121</f>
        <v>65992381.884000003</v>
      </c>
      <c r="AF121" s="50">
        <v>173000000</v>
      </c>
      <c r="AG121" s="49">
        <f>AF121*F121</f>
        <v>207576037.56240001</v>
      </c>
      <c r="AH121" s="50"/>
      <c r="AI121" s="50"/>
      <c r="AJ121" s="56"/>
      <c r="AK121" s="50"/>
      <c r="AL121" s="56"/>
      <c r="AM121" s="50"/>
      <c r="AN121" s="50"/>
      <c r="AO121" s="50"/>
      <c r="AP121" s="50"/>
      <c r="AQ121" s="50"/>
      <c r="AR121" s="51"/>
      <c r="AS121" s="50"/>
      <c r="AT121" s="50"/>
      <c r="AU121" s="50"/>
      <c r="AV121" s="56"/>
      <c r="AW121" s="53"/>
      <c r="AX121" s="122"/>
      <c r="AY121" s="55"/>
      <c r="AZ121" s="120"/>
      <c r="BA121" s="120"/>
      <c r="BB121" s="120"/>
      <c r="BC121" s="21"/>
    </row>
    <row r="122" spans="1:55" x14ac:dyDescent="0.25">
      <c r="A122" s="8" t="s">
        <v>309</v>
      </c>
      <c r="B122" s="8" t="s">
        <v>310</v>
      </c>
      <c r="C122" s="18" t="s">
        <v>312</v>
      </c>
      <c r="D122" s="8" t="s">
        <v>66</v>
      </c>
      <c r="E122" s="8" t="s">
        <v>110</v>
      </c>
      <c r="F122" s="8">
        <v>1.1998614888000001</v>
      </c>
      <c r="G122" s="40">
        <v>5759000</v>
      </c>
      <c r="H122" s="40"/>
      <c r="I122" s="12"/>
      <c r="J122" s="10">
        <v>67000000</v>
      </c>
      <c r="K122" s="11">
        <f t="shared" si="19"/>
        <v>80390719.749600008</v>
      </c>
      <c r="M122" s="11"/>
      <c r="N122" s="12"/>
      <c r="O122" s="13"/>
      <c r="P122" s="12"/>
      <c r="Q122" s="13">
        <f t="shared" si="22"/>
        <v>0</v>
      </c>
      <c r="R122" s="12"/>
      <c r="S122" s="11">
        <f t="shared" si="23"/>
        <v>0</v>
      </c>
      <c r="T122" s="12"/>
      <c r="U122" s="12"/>
      <c r="V122" s="12"/>
      <c r="W122" s="12"/>
      <c r="X122" s="12"/>
      <c r="Y122" s="12"/>
      <c r="Z122" s="12"/>
      <c r="AA122" s="12"/>
      <c r="AB122" s="12"/>
      <c r="AC122" s="12"/>
      <c r="AD122" s="12"/>
      <c r="AE122" s="12"/>
      <c r="AF122" s="12"/>
      <c r="AG122" s="12"/>
      <c r="AH122" s="12"/>
      <c r="AI122" s="12"/>
      <c r="AJ122" s="15"/>
      <c r="AK122" s="12"/>
      <c r="AL122" s="15"/>
      <c r="AM122" s="12"/>
      <c r="AN122" s="12"/>
      <c r="AO122" s="12"/>
      <c r="AP122" s="12"/>
      <c r="AQ122" s="12"/>
      <c r="AR122" s="13"/>
      <c r="AS122" s="12"/>
      <c r="AT122" s="12"/>
      <c r="AU122" s="12"/>
      <c r="AV122" s="15"/>
      <c r="AW122" s="16"/>
      <c r="AX122" s="121"/>
      <c r="AY122" s="17"/>
      <c r="AZ122" s="119"/>
      <c r="BA122" s="119"/>
      <c r="BB122" s="119"/>
      <c r="BC122"/>
    </row>
    <row r="123" spans="1:55" x14ac:dyDescent="0.25">
      <c r="A123" s="8" t="s">
        <v>309</v>
      </c>
      <c r="B123" s="8" t="s">
        <v>310</v>
      </c>
      <c r="C123" s="9" t="s">
        <v>313</v>
      </c>
      <c r="D123" s="8" t="s">
        <v>83</v>
      </c>
      <c r="E123" s="8" t="s">
        <v>110</v>
      </c>
      <c r="F123" s="8">
        <v>1.1998614888000001</v>
      </c>
      <c r="G123" s="10">
        <v>2293378</v>
      </c>
      <c r="H123" s="10"/>
      <c r="I123" s="12">
        <v>12531</v>
      </c>
      <c r="J123" s="10">
        <v>61868000</v>
      </c>
      <c r="K123" s="11">
        <f t="shared" si="19"/>
        <v>74233030.589078411</v>
      </c>
      <c r="L123" s="12">
        <f>J123-R123</f>
        <v>47340000</v>
      </c>
      <c r="M123" s="11">
        <f>F123*L123</f>
        <v>56801442.879792005</v>
      </c>
      <c r="N123" s="12"/>
      <c r="O123" s="13"/>
      <c r="P123" s="12"/>
      <c r="Q123" s="13">
        <f t="shared" si="22"/>
        <v>0</v>
      </c>
      <c r="R123" s="12">
        <v>14528000</v>
      </c>
      <c r="S123" s="11">
        <f t="shared" si="23"/>
        <v>17431587.709286403</v>
      </c>
      <c r="T123" s="12"/>
      <c r="U123" s="12"/>
      <c r="V123" s="12"/>
      <c r="W123" s="12"/>
      <c r="X123" s="12"/>
      <c r="Y123" s="12"/>
      <c r="Z123" s="12"/>
      <c r="AA123" s="12"/>
      <c r="AB123" s="12"/>
      <c r="AC123" s="12"/>
      <c r="AD123" s="12"/>
      <c r="AE123" s="12"/>
      <c r="AF123" s="12">
        <v>12000000</v>
      </c>
      <c r="AG123" s="11">
        <f>AF123*F123</f>
        <v>14398337.865600001</v>
      </c>
      <c r="AH123" s="12">
        <v>39054000</v>
      </c>
      <c r="AI123" s="12"/>
      <c r="AJ123" s="14"/>
      <c r="AK123" s="11"/>
      <c r="AL123" s="14"/>
      <c r="AM123" s="11"/>
      <c r="AN123" s="12">
        <f>41%*AH123</f>
        <v>16012139.999999998</v>
      </c>
      <c r="AO123" s="11">
        <f>AN123*F123</f>
        <v>19212350.139274031</v>
      </c>
      <c r="AP123" s="12">
        <v>271</v>
      </c>
      <c r="AQ123" s="12">
        <v>21000000</v>
      </c>
      <c r="AR123" s="13">
        <f>AQ123*F123</f>
        <v>25197091.264800001</v>
      </c>
      <c r="AS123" s="12">
        <f>AQ123-AT123</f>
        <v>11600000</v>
      </c>
      <c r="AT123" s="12">
        <v>9400000</v>
      </c>
      <c r="AU123" s="13">
        <f>AT123*F123</f>
        <v>11278697.994720001</v>
      </c>
      <c r="AV123" s="15">
        <v>6873000</v>
      </c>
      <c r="AW123" s="16">
        <f>AV123*F123</f>
        <v>8246648.0125224004</v>
      </c>
      <c r="AY123" s="17"/>
      <c r="AZ123" s="119"/>
      <c r="BA123" s="119"/>
      <c r="BB123" s="119">
        <v>16500000</v>
      </c>
      <c r="BC123" t="s">
        <v>314</v>
      </c>
    </row>
    <row r="124" spans="1:55" ht="16.5" customHeight="1" x14ac:dyDescent="0.25">
      <c r="A124" s="8" t="s">
        <v>309</v>
      </c>
      <c r="B124" s="8" t="s">
        <v>310</v>
      </c>
      <c r="C124" s="37" t="s">
        <v>315</v>
      </c>
      <c r="D124" s="8" t="s">
        <v>83</v>
      </c>
      <c r="E124" s="8" t="s">
        <v>110</v>
      </c>
      <c r="F124" s="8">
        <v>1.1998614888000001</v>
      </c>
      <c r="G124" s="10">
        <v>9002086</v>
      </c>
      <c r="H124" s="10"/>
      <c r="I124" s="12">
        <v>109192</v>
      </c>
      <c r="J124" s="10">
        <v>140300000</v>
      </c>
      <c r="K124" s="11">
        <f t="shared" si="19"/>
        <v>168340566.87864003</v>
      </c>
      <c r="L124" s="12">
        <f>39000000+38000000</f>
        <v>77000000</v>
      </c>
      <c r="M124" s="11">
        <f>F124*L124</f>
        <v>92389334.637600005</v>
      </c>
      <c r="N124" s="12"/>
      <c r="O124" s="13"/>
      <c r="P124" s="12"/>
      <c r="Q124" s="13">
        <f t="shared" si="22"/>
        <v>0</v>
      </c>
      <c r="R124" s="12">
        <f>J124-L124</f>
        <v>63300000</v>
      </c>
      <c r="S124" s="11">
        <f t="shared" si="23"/>
        <v>75951232.241040006</v>
      </c>
      <c r="T124" s="12"/>
      <c r="U124" s="12"/>
      <c r="V124" s="12"/>
      <c r="W124" s="12"/>
      <c r="X124" s="12"/>
      <c r="Y124" s="12"/>
      <c r="Z124" s="12"/>
      <c r="AA124" s="12"/>
      <c r="AB124" s="12"/>
      <c r="AC124" s="12"/>
      <c r="AD124" s="12"/>
      <c r="AE124" s="12"/>
      <c r="AF124" s="12">
        <v>26000000</v>
      </c>
      <c r="AG124" s="11">
        <f>AF124*F124</f>
        <v>31196398.708800003</v>
      </c>
      <c r="AH124" s="12"/>
      <c r="AI124" s="12"/>
      <c r="AJ124" s="15"/>
      <c r="AK124" s="12"/>
      <c r="AL124" s="15"/>
      <c r="AM124" s="12"/>
      <c r="AN124" s="12"/>
      <c r="AO124" s="12"/>
      <c r="AP124" s="12"/>
      <c r="AQ124" s="12"/>
      <c r="AR124" s="13"/>
      <c r="AS124" s="12"/>
      <c r="AT124" s="12">
        <v>42700000</v>
      </c>
      <c r="AU124" s="12"/>
      <c r="AV124" s="15"/>
      <c r="AW124" s="16"/>
      <c r="AX124" s="121"/>
      <c r="AY124" s="17"/>
      <c r="AZ124" s="119"/>
      <c r="BA124" s="119"/>
      <c r="BB124" s="119"/>
      <c r="BC124"/>
    </row>
    <row r="125" spans="1:55" ht="18.75" customHeight="1" x14ac:dyDescent="0.25">
      <c r="A125" s="8" t="s">
        <v>309</v>
      </c>
      <c r="B125" s="8" t="s">
        <v>310</v>
      </c>
      <c r="C125" s="9" t="s">
        <v>316</v>
      </c>
      <c r="D125" s="8" t="s">
        <v>83</v>
      </c>
      <c r="E125" s="8" t="s">
        <v>110</v>
      </c>
      <c r="F125" s="8">
        <v>1.1998614888000001</v>
      </c>
      <c r="G125" s="10">
        <v>9264611</v>
      </c>
      <c r="H125" s="10"/>
      <c r="I125" s="12">
        <v>103842</v>
      </c>
      <c r="J125" s="10">
        <v>142328000</v>
      </c>
      <c r="K125" s="11">
        <f t="shared" si="19"/>
        <v>170773885.9779264</v>
      </c>
      <c r="L125" s="12">
        <f>J125-R125</f>
        <v>83244000</v>
      </c>
      <c r="M125" s="11">
        <f>F125*L125</f>
        <v>99881269.773667201</v>
      </c>
      <c r="N125" s="12"/>
      <c r="O125" s="13"/>
      <c r="P125" s="12"/>
      <c r="Q125" s="13">
        <f t="shared" si="22"/>
        <v>0</v>
      </c>
      <c r="R125" s="12">
        <v>59084000</v>
      </c>
      <c r="S125" s="11">
        <f t="shared" si="23"/>
        <v>70892616.204259202</v>
      </c>
      <c r="T125" s="12"/>
      <c r="U125" s="12"/>
      <c r="V125" s="12"/>
      <c r="W125" s="12"/>
      <c r="X125" s="12"/>
      <c r="Y125" s="12"/>
      <c r="Z125" s="12"/>
      <c r="AA125" s="12"/>
      <c r="AB125" s="12"/>
      <c r="AC125" s="12"/>
      <c r="AD125" s="12"/>
      <c r="AE125" s="12"/>
      <c r="AF125" s="12">
        <v>31442000</v>
      </c>
      <c r="AG125" s="11">
        <f>AF125*F125</f>
        <v>37726044.930849604</v>
      </c>
      <c r="AH125" s="12">
        <f>56112000+23292000+10947000+362000+AS125</f>
        <v>108314000</v>
      </c>
      <c r="AI125" s="12"/>
      <c r="AJ125" s="14"/>
      <c r="AK125" s="11"/>
      <c r="AL125" s="14"/>
      <c r="AM125" s="11"/>
      <c r="AN125" s="12">
        <v>23292000</v>
      </c>
      <c r="AO125" s="11">
        <f>AN125*F125</f>
        <v>27947173.797129601</v>
      </c>
      <c r="AP125" s="12">
        <v>289</v>
      </c>
      <c r="AQ125" s="12">
        <v>51854000</v>
      </c>
      <c r="AR125" s="13">
        <f>AQ125*F125</f>
        <v>62217617.640235208</v>
      </c>
      <c r="AS125" s="12">
        <v>17601000</v>
      </c>
      <c r="AT125" s="12">
        <f>AQ125-AS125</f>
        <v>34253000</v>
      </c>
      <c r="AU125" s="13">
        <f>AT125*F125</f>
        <v>41098855.575866401</v>
      </c>
      <c r="AV125" s="15">
        <v>20998000</v>
      </c>
      <c r="AW125" s="16">
        <f>AV125*F125</f>
        <v>25194691.541822404</v>
      </c>
      <c r="AX125" s="119">
        <v>329905000</v>
      </c>
      <c r="AY125" s="17">
        <f>AX125*F125</f>
        <v>395840304.46256405</v>
      </c>
      <c r="AZ125" s="119">
        <f>(AX125+304817000)/2</f>
        <v>317361000</v>
      </c>
      <c r="BA125" s="119">
        <v>70706000</v>
      </c>
      <c r="BB125" s="119">
        <v>51426000</v>
      </c>
      <c r="BC125"/>
    </row>
    <row r="126" spans="1:55" ht="15" customHeight="1" x14ac:dyDescent="0.25">
      <c r="A126" s="8" t="s">
        <v>309</v>
      </c>
      <c r="B126" s="8" t="s">
        <v>310</v>
      </c>
      <c r="C126" s="18" t="s">
        <v>317</v>
      </c>
      <c r="D126" s="8" t="s">
        <v>83</v>
      </c>
      <c r="E126" s="8" t="s">
        <v>110</v>
      </c>
      <c r="F126" s="8">
        <v>1.1998614888000001</v>
      </c>
      <c r="G126" s="10">
        <v>3997678</v>
      </c>
      <c r="H126" s="10"/>
      <c r="I126" s="12"/>
      <c r="J126" s="10">
        <v>54171458</v>
      </c>
      <c r="K126" s="11">
        <f t="shared" si="19"/>
        <v>64998246.246346675</v>
      </c>
      <c r="M126" s="11"/>
      <c r="N126" s="12"/>
      <c r="O126" s="13"/>
      <c r="P126" s="12"/>
      <c r="Q126" s="13">
        <f t="shared" si="22"/>
        <v>0</v>
      </c>
      <c r="R126" s="12"/>
      <c r="S126" s="11">
        <f t="shared" si="23"/>
        <v>0</v>
      </c>
      <c r="T126" s="12"/>
      <c r="U126" s="12"/>
      <c r="V126" s="12"/>
      <c r="W126" s="12"/>
      <c r="X126" s="12"/>
      <c r="Y126" s="12"/>
      <c r="Z126" s="12"/>
      <c r="AA126" s="12"/>
      <c r="AB126" s="12"/>
      <c r="AC126" s="12"/>
      <c r="AD126" s="12"/>
      <c r="AE126" s="12"/>
      <c r="AF126" s="12"/>
      <c r="AG126" s="12"/>
      <c r="AH126" s="12">
        <v>58432490</v>
      </c>
      <c r="AI126" s="12"/>
      <c r="AJ126" s="14"/>
      <c r="AK126" s="11"/>
      <c r="AL126" s="14"/>
      <c r="AM126" s="11"/>
      <c r="AN126" s="12">
        <v>13368459</v>
      </c>
      <c r="AO126" s="11">
        <f>AN126*F126</f>
        <v>16040299.11870176</v>
      </c>
      <c r="AP126" s="12" t="s">
        <v>0</v>
      </c>
      <c r="AQ126" s="12"/>
      <c r="AR126" s="13"/>
      <c r="AS126" s="12"/>
      <c r="AT126" s="12"/>
      <c r="AU126" s="12"/>
      <c r="AV126" s="15"/>
      <c r="AW126" s="16"/>
      <c r="AX126" s="121"/>
      <c r="AY126" s="17"/>
      <c r="AZ126" s="119"/>
      <c r="BA126" s="119"/>
      <c r="BB126" s="119"/>
      <c r="BC126"/>
    </row>
    <row r="127" spans="1:55" ht="15" customHeight="1" x14ac:dyDescent="0.25">
      <c r="A127" s="8" t="s">
        <v>309</v>
      </c>
      <c r="B127" s="8" t="s">
        <v>310</v>
      </c>
      <c r="C127" s="18" t="s">
        <v>318</v>
      </c>
      <c r="D127" s="8" t="s">
        <v>66</v>
      </c>
      <c r="E127" s="8" t="s">
        <v>110</v>
      </c>
      <c r="F127" s="8">
        <v>1.1998614888000001</v>
      </c>
      <c r="G127" s="10">
        <v>9500000</v>
      </c>
      <c r="H127" s="10"/>
      <c r="I127" s="12"/>
      <c r="J127" s="10">
        <v>173000000</v>
      </c>
      <c r="K127" s="11">
        <f t="shared" si="19"/>
        <v>207576037.56240001</v>
      </c>
      <c r="M127" s="11"/>
      <c r="N127" s="12"/>
      <c r="O127" s="13"/>
      <c r="P127" s="12"/>
      <c r="Q127" s="13">
        <f t="shared" si="22"/>
        <v>0</v>
      </c>
      <c r="R127" s="12"/>
      <c r="S127" s="11">
        <f t="shared" si="23"/>
        <v>0</v>
      </c>
      <c r="T127" s="12"/>
      <c r="U127" s="12"/>
      <c r="V127" s="12"/>
      <c r="W127" s="12"/>
      <c r="X127" s="12"/>
      <c r="Y127" s="12"/>
      <c r="Z127" s="12"/>
      <c r="AA127" s="12"/>
      <c r="AB127" s="12"/>
      <c r="AC127" s="12"/>
      <c r="AD127" s="12"/>
      <c r="AE127" s="12"/>
      <c r="AF127" s="12"/>
      <c r="AG127" s="12"/>
      <c r="AH127" s="12"/>
      <c r="AI127" s="12"/>
      <c r="AJ127" s="14"/>
      <c r="AK127" s="11"/>
      <c r="AL127" s="14"/>
      <c r="AM127" s="11"/>
      <c r="AN127" s="12"/>
      <c r="AO127" s="11"/>
      <c r="AP127" s="12"/>
      <c r="AQ127" s="12"/>
      <c r="AR127" s="13"/>
      <c r="AS127" s="12"/>
      <c r="AT127" s="12"/>
      <c r="AU127" s="12"/>
      <c r="AV127" s="15">
        <v>15200000</v>
      </c>
      <c r="AW127" s="16">
        <f>AV127*F127</f>
        <v>18237894.629760001</v>
      </c>
      <c r="AX127" s="119"/>
      <c r="AY127" s="17"/>
      <c r="AZ127" s="119"/>
      <c r="BA127" s="119"/>
      <c r="BB127" s="119"/>
      <c r="BC127"/>
    </row>
    <row r="128" spans="1:55" ht="15" customHeight="1" x14ac:dyDescent="0.25">
      <c r="A128" s="8" t="s">
        <v>309</v>
      </c>
      <c r="B128" s="8" t="s">
        <v>319</v>
      </c>
      <c r="C128" s="18" t="s">
        <v>320</v>
      </c>
      <c r="D128" s="47" t="s">
        <v>533</v>
      </c>
      <c r="E128" s="47" t="s">
        <v>110</v>
      </c>
      <c r="F128" s="47">
        <v>1.1998614888000001</v>
      </c>
      <c r="G128" s="48">
        <v>33900000</v>
      </c>
      <c r="H128" s="48" t="s">
        <v>0</v>
      </c>
      <c r="I128" s="50"/>
      <c r="J128" s="48">
        <v>640774000</v>
      </c>
      <c r="K128" s="49">
        <f t="shared" si="19"/>
        <v>768840045.62433124</v>
      </c>
      <c r="L128" s="50">
        <v>318860000</v>
      </c>
      <c r="M128" s="49">
        <f t="shared" ref="M128:M138" si="24">F128*L128</f>
        <v>382587834.31876802</v>
      </c>
      <c r="N128" s="50"/>
      <c r="O128" s="51"/>
      <c r="P128" s="50"/>
      <c r="Q128" s="51"/>
      <c r="R128" s="50"/>
      <c r="S128" s="49"/>
      <c r="T128" s="50"/>
      <c r="U128" s="50"/>
      <c r="V128" s="50"/>
      <c r="W128" s="50"/>
      <c r="X128" s="50"/>
      <c r="Y128" s="50"/>
      <c r="Z128" s="50"/>
      <c r="AA128" s="50"/>
      <c r="AB128" s="50">
        <v>163238000</v>
      </c>
      <c r="AC128" s="51">
        <f>AB128*F128</f>
        <v>195862989.70873442</v>
      </c>
      <c r="AD128" s="50"/>
      <c r="AE128" s="50"/>
      <c r="AF128" s="50"/>
      <c r="AG128" s="50"/>
      <c r="AH128" s="50">
        <v>290000000</v>
      </c>
      <c r="AI128" s="50"/>
      <c r="AJ128" s="52"/>
      <c r="AK128" s="49"/>
      <c r="AL128" s="52"/>
      <c r="AM128" s="49"/>
      <c r="AN128" s="50"/>
      <c r="AO128" s="50"/>
      <c r="AP128" s="50">
        <v>3350</v>
      </c>
      <c r="AQ128" s="50"/>
      <c r="AR128" s="51"/>
      <c r="AS128" s="50"/>
      <c r="AT128" s="50"/>
      <c r="AU128" s="50"/>
      <c r="AV128" s="56"/>
      <c r="AW128" s="53"/>
      <c r="AX128" s="122"/>
      <c r="AY128" s="55"/>
      <c r="AZ128" s="120"/>
      <c r="BA128" s="120"/>
      <c r="BB128" s="120"/>
      <c r="BC128"/>
    </row>
    <row r="129" spans="1:55" x14ac:dyDescent="0.25">
      <c r="A129" s="8" t="s">
        <v>309</v>
      </c>
      <c r="B129" s="8" t="s">
        <v>321</v>
      </c>
      <c r="C129" s="9" t="s">
        <v>322</v>
      </c>
      <c r="D129" s="99" t="s">
        <v>527</v>
      </c>
      <c r="E129" s="99" t="s">
        <v>110</v>
      </c>
      <c r="F129" s="99">
        <v>1.1998614888000001</v>
      </c>
      <c r="G129" s="48">
        <v>48835000</v>
      </c>
      <c r="H129" s="48"/>
      <c r="I129" s="100">
        <v>360000</v>
      </c>
      <c r="J129" s="48">
        <v>921500000</v>
      </c>
      <c r="K129" s="48">
        <f t="shared" si="19"/>
        <v>1105672361.9292002</v>
      </c>
      <c r="L129" s="100">
        <v>666970000</v>
      </c>
      <c r="M129" s="48"/>
      <c r="N129" s="50">
        <v>367100000</v>
      </c>
      <c r="O129" s="51"/>
      <c r="P129" s="50">
        <v>140300000</v>
      </c>
      <c r="Q129" s="51">
        <f>P129*F129</f>
        <v>168340566.87864003</v>
      </c>
      <c r="R129" s="50">
        <v>254530000</v>
      </c>
      <c r="S129" s="49">
        <f>R129*F129</f>
        <v>305400744.74426401</v>
      </c>
      <c r="T129" s="100"/>
      <c r="U129" s="100"/>
      <c r="V129" s="100"/>
      <c r="W129" s="100"/>
      <c r="X129" s="100">
        <f>49600000+42100000</f>
        <v>91700000</v>
      </c>
      <c r="Y129" s="100"/>
      <c r="Z129" s="100">
        <v>35600000</v>
      </c>
      <c r="AA129" s="100"/>
      <c r="AB129" s="100">
        <f>X129+Z129</f>
        <v>127300000</v>
      </c>
      <c r="AC129" s="51">
        <f>AB129*F129</f>
        <v>152742367.52424002</v>
      </c>
      <c r="AD129" s="100">
        <v>12800000</v>
      </c>
      <c r="AE129" s="100"/>
      <c r="AF129" s="100">
        <v>28000000</v>
      </c>
      <c r="AG129" s="48"/>
      <c r="AH129" s="100">
        <v>467852000</v>
      </c>
      <c r="AI129" s="100"/>
      <c r="AJ129" s="48"/>
      <c r="AK129" s="48"/>
      <c r="AL129" s="48"/>
      <c r="AM129" s="48"/>
      <c r="AN129" s="100">
        <v>167964000</v>
      </c>
      <c r="AO129" s="48">
        <f>AN129*F129</f>
        <v>201533535.1048032</v>
      </c>
      <c r="AP129" s="100">
        <v>3453</v>
      </c>
      <c r="AQ129" s="100">
        <v>577296000</v>
      </c>
      <c r="AR129" s="100"/>
      <c r="AS129" s="100"/>
      <c r="AT129" s="100">
        <v>416417000</v>
      </c>
      <c r="AU129" s="100">
        <v>103600000</v>
      </c>
      <c r="AV129" s="100">
        <v>246240000</v>
      </c>
      <c r="AW129" s="101"/>
      <c r="AX129" s="139">
        <v>3207637000</v>
      </c>
      <c r="AY129" s="102"/>
      <c r="AZ129" s="120">
        <f>(3207637+3212968)/2*1000</f>
        <v>3210302500</v>
      </c>
      <c r="BA129" s="120">
        <v>460281000</v>
      </c>
      <c r="BB129" s="139">
        <v>453389000</v>
      </c>
      <c r="BC129" s="21"/>
    </row>
    <row r="130" spans="1:55" x14ac:dyDescent="0.25">
      <c r="A130" s="8" t="s">
        <v>309</v>
      </c>
      <c r="B130" s="8" t="s">
        <v>321</v>
      </c>
      <c r="C130" s="9" t="s">
        <v>323</v>
      </c>
      <c r="D130" s="47" t="s">
        <v>527</v>
      </c>
      <c r="E130" s="47" t="s">
        <v>110</v>
      </c>
      <c r="F130" s="47">
        <v>1.1998614888000001</v>
      </c>
      <c r="G130" s="48">
        <v>33748800</v>
      </c>
      <c r="H130" s="48"/>
      <c r="I130" s="50">
        <v>283897</v>
      </c>
      <c r="J130" s="48">
        <v>713145000</v>
      </c>
      <c r="K130" s="49">
        <f t="shared" si="19"/>
        <v>855675221.43027604</v>
      </c>
      <c r="L130" s="50"/>
      <c r="M130" s="49"/>
      <c r="N130" s="50"/>
      <c r="O130" s="51"/>
      <c r="P130" s="50"/>
      <c r="Q130" s="51"/>
      <c r="R130" s="50">
        <v>242399000</v>
      </c>
      <c r="S130" s="49">
        <f>R130*F130</f>
        <v>290845225.02363122</v>
      </c>
      <c r="T130" s="50"/>
      <c r="U130" s="50"/>
      <c r="V130" s="50"/>
      <c r="W130" s="50"/>
      <c r="X130" s="50">
        <v>50704000</v>
      </c>
      <c r="Y130" s="51"/>
      <c r="Z130" s="50">
        <v>21702000</v>
      </c>
      <c r="AA130" s="51"/>
      <c r="AB130" s="50">
        <f>X130+Z130</f>
        <v>72406000</v>
      </c>
      <c r="AC130" s="51"/>
      <c r="AD130" s="50">
        <v>11529000</v>
      </c>
      <c r="AE130" s="51"/>
      <c r="AF130" s="50">
        <v>68119000</v>
      </c>
      <c r="AG130" s="49"/>
      <c r="AH130" s="50">
        <v>404566000</v>
      </c>
      <c r="AI130" s="50"/>
      <c r="AJ130" s="52">
        <v>9691000</v>
      </c>
      <c r="AK130" s="49"/>
      <c r="AL130" s="52">
        <v>27851000</v>
      </c>
      <c r="AM130" s="49"/>
      <c r="AN130" s="50">
        <v>189416000</v>
      </c>
      <c r="AO130" s="49"/>
      <c r="AP130" s="50">
        <v>2782</v>
      </c>
      <c r="AQ130" s="50">
        <v>281851000</v>
      </c>
      <c r="AR130" s="51"/>
      <c r="AS130" s="50">
        <v>73601000</v>
      </c>
      <c r="AT130" s="50">
        <v>189469000</v>
      </c>
      <c r="AU130" s="51"/>
      <c r="AV130" s="56">
        <v>136076000</v>
      </c>
      <c r="AW130" s="53"/>
      <c r="AX130" s="120">
        <v>1604223000</v>
      </c>
      <c r="AY130" s="55"/>
      <c r="AZ130" s="120">
        <f>(AX130+1539065000)/2</f>
        <v>1571644000</v>
      </c>
      <c r="BA130" s="120">
        <v>393453000</v>
      </c>
      <c r="BB130" s="120">
        <v>233982000</v>
      </c>
      <c r="BC130"/>
    </row>
    <row r="131" spans="1:55" x14ac:dyDescent="0.25">
      <c r="A131" s="8" t="s">
        <v>309</v>
      </c>
      <c r="B131" s="8" t="s">
        <v>321</v>
      </c>
      <c r="C131" s="9" t="s">
        <v>324</v>
      </c>
      <c r="D131" s="47" t="s">
        <v>527</v>
      </c>
      <c r="E131" s="47" t="s">
        <v>110</v>
      </c>
      <c r="F131" s="47">
        <v>1.1998614888000001</v>
      </c>
      <c r="G131" s="48">
        <v>8577507</v>
      </c>
      <c r="H131" s="48"/>
      <c r="I131" s="50">
        <v>74081</v>
      </c>
      <c r="J131" s="48">
        <v>133866000</v>
      </c>
      <c r="K131" s="49"/>
      <c r="L131" s="50">
        <f>J131-R131</f>
        <v>99631000</v>
      </c>
      <c r="M131" s="49"/>
      <c r="N131" s="50">
        <v>49232000</v>
      </c>
      <c r="O131" s="51"/>
      <c r="P131" s="50">
        <v>17413000</v>
      </c>
      <c r="Q131" s="51"/>
      <c r="R131" s="50">
        <f>33620000+615000</f>
        <v>34235000</v>
      </c>
      <c r="S131" s="49"/>
      <c r="T131" s="50"/>
      <c r="U131" s="50"/>
      <c r="V131" s="50"/>
      <c r="W131" s="50"/>
      <c r="X131" s="50"/>
      <c r="Y131" s="50"/>
      <c r="Z131" s="50"/>
      <c r="AA131" s="50"/>
      <c r="AB131" s="50">
        <v>17390000</v>
      </c>
      <c r="AC131" s="50"/>
      <c r="AD131" s="50">
        <v>3379000</v>
      </c>
      <c r="AE131" s="51"/>
      <c r="AF131" s="50">
        <v>10104000</v>
      </c>
      <c r="AG131" s="49"/>
      <c r="AH131" s="50">
        <f>26160000+54611000</f>
        <v>80771000</v>
      </c>
      <c r="AI131" s="50"/>
      <c r="AJ131" s="56"/>
      <c r="AK131" s="50"/>
      <c r="AL131" s="56"/>
      <c r="AM131" s="49"/>
      <c r="AN131" s="50">
        <v>26160000</v>
      </c>
      <c r="AO131" s="49"/>
      <c r="AP131" s="50">
        <v>397</v>
      </c>
      <c r="AQ131" s="50">
        <v>52552000</v>
      </c>
      <c r="AR131" s="51"/>
      <c r="AS131" s="50"/>
      <c r="AT131" s="50">
        <v>32459000</v>
      </c>
      <c r="AU131" s="51"/>
      <c r="AV131" s="56">
        <v>20462000</v>
      </c>
      <c r="AW131" s="53"/>
      <c r="AX131" s="122">
        <v>315524053</v>
      </c>
      <c r="AY131" s="55">
        <f>AX131*F131</f>
        <v>378585159.98479015</v>
      </c>
      <c r="AZ131" s="120">
        <f>(AX131+159431422)/2</f>
        <v>237477737.5</v>
      </c>
      <c r="BA131" s="120"/>
      <c r="BB131" s="120"/>
      <c r="BC131"/>
    </row>
    <row r="132" spans="1:55" x14ac:dyDescent="0.25">
      <c r="A132" s="8" t="s">
        <v>309</v>
      </c>
      <c r="B132" s="8" t="s">
        <v>321</v>
      </c>
      <c r="C132" s="9" t="s">
        <v>325</v>
      </c>
      <c r="D132" s="8" t="s">
        <v>83</v>
      </c>
      <c r="E132" s="8" t="s">
        <v>110</v>
      </c>
      <c r="F132" s="8">
        <v>1.1998614888000001</v>
      </c>
      <c r="G132" s="10">
        <v>7891167</v>
      </c>
      <c r="H132" s="10"/>
      <c r="I132" s="12">
        <v>77351</v>
      </c>
      <c r="J132" s="10">
        <v>136151000</v>
      </c>
      <c r="K132" s="11">
        <f t="shared" si="19"/>
        <v>163362341.56160882</v>
      </c>
      <c r="L132" s="12">
        <v>93945000</v>
      </c>
      <c r="M132" s="11">
        <f t="shared" si="24"/>
        <v>112720987.56531601</v>
      </c>
      <c r="N132" s="12">
        <v>31882000</v>
      </c>
      <c r="O132" s="13">
        <f>N132*F132</f>
        <v>38253983.985921606</v>
      </c>
      <c r="P132" s="12">
        <v>14520000</v>
      </c>
      <c r="Q132" s="13">
        <f t="shared" si="22"/>
        <v>17421988.817376003</v>
      </c>
      <c r="R132" s="12">
        <v>28070000</v>
      </c>
      <c r="S132" s="11">
        <f t="shared" si="23"/>
        <v>33680111.990616001</v>
      </c>
      <c r="T132" s="12"/>
      <c r="U132" s="12"/>
      <c r="V132" s="12"/>
      <c r="W132" s="12"/>
      <c r="X132" s="12">
        <v>4627000</v>
      </c>
      <c r="Y132" s="13">
        <f>X132*F132</f>
        <v>5551759.1086776005</v>
      </c>
      <c r="Z132" s="12">
        <v>3152000</v>
      </c>
      <c r="AA132" s="13">
        <f>Z132*F132</f>
        <v>3781963.4126976002</v>
      </c>
      <c r="AB132" s="12">
        <f>X132+Z132</f>
        <v>7779000</v>
      </c>
      <c r="AC132" s="13">
        <f>AB132*F132</f>
        <v>9333722.5213752016</v>
      </c>
      <c r="AD132" s="12">
        <v>2298000</v>
      </c>
      <c r="AE132" s="13">
        <f>AD132*F132</f>
        <v>2757281.7012624</v>
      </c>
      <c r="AF132" s="12">
        <v>6517000</v>
      </c>
      <c r="AG132" s="11">
        <f>AF132*F132</f>
        <v>7819497.3225096008</v>
      </c>
      <c r="AH132" s="12">
        <f>94919000+AS132</f>
        <v>105464000</v>
      </c>
      <c r="AI132" s="12"/>
      <c r="AJ132" s="14">
        <v>3350000</v>
      </c>
      <c r="AK132" s="11">
        <f>AJ132*F132</f>
        <v>4019535.9874800001</v>
      </c>
      <c r="AL132" s="14">
        <v>5112000</v>
      </c>
      <c r="AM132" s="11">
        <f>AL132*F132</f>
        <v>6133691.9307456007</v>
      </c>
      <c r="AN132" s="12">
        <v>41217500</v>
      </c>
      <c r="AO132" s="11">
        <f>AN132*F132</f>
        <v>49455290.914614007</v>
      </c>
      <c r="AP132" s="12">
        <v>722</v>
      </c>
      <c r="AQ132" s="12">
        <v>30173000</v>
      </c>
      <c r="AR132" s="13">
        <f>AQ132*F132</f>
        <v>36203420.701562405</v>
      </c>
      <c r="AS132" s="12">
        <f>(9051+1494)*1000</f>
        <v>10545000</v>
      </c>
      <c r="AT132" s="12">
        <f>AQ132-AS132</f>
        <v>19628000</v>
      </c>
      <c r="AU132" s="13">
        <f>AT132*F132</f>
        <v>23550881.302166402</v>
      </c>
      <c r="AV132" s="15">
        <v>10550000</v>
      </c>
      <c r="AW132" s="16">
        <f>AV132*F132</f>
        <v>12658538.706840001</v>
      </c>
      <c r="AX132" s="121">
        <v>249343000</v>
      </c>
      <c r="AY132" s="17">
        <f>AX132*F132</f>
        <v>299177063.2018584</v>
      </c>
      <c r="AZ132" s="119">
        <f>(246651+235314)/2*1000</f>
        <v>240982500</v>
      </c>
      <c r="BA132" s="119">
        <v>74257000</v>
      </c>
      <c r="BB132" s="119">
        <v>11266000</v>
      </c>
      <c r="BC132"/>
    </row>
    <row r="133" spans="1:55" x14ac:dyDescent="0.25">
      <c r="A133" s="8" t="s">
        <v>309</v>
      </c>
      <c r="B133" s="8" t="s">
        <v>321</v>
      </c>
      <c r="C133" s="9" t="s">
        <v>326</v>
      </c>
      <c r="D133" s="8" t="s">
        <v>83</v>
      </c>
      <c r="E133" s="8" t="s">
        <v>110</v>
      </c>
      <c r="F133" s="8">
        <v>1.1998614888000001</v>
      </c>
      <c r="G133" s="10">
        <v>13366406</v>
      </c>
      <c r="H133" s="10"/>
      <c r="I133" s="12">
        <v>103188</v>
      </c>
      <c r="J133" s="10">
        <v>199000000</v>
      </c>
      <c r="K133" s="11">
        <f t="shared" si="19"/>
        <v>238772436.27120003</v>
      </c>
      <c r="L133" s="12">
        <v>118578000</v>
      </c>
      <c r="M133" s="11">
        <f t="shared" si="24"/>
        <v>142277175.61892641</v>
      </c>
      <c r="N133" s="12"/>
      <c r="O133" s="13"/>
      <c r="P133" s="12"/>
      <c r="Q133" s="13">
        <f t="shared" si="22"/>
        <v>0</v>
      </c>
      <c r="R133" s="12">
        <v>40455000</v>
      </c>
      <c r="S133" s="11">
        <f t="shared" si="23"/>
        <v>48540396.529404007</v>
      </c>
      <c r="T133" s="12"/>
      <c r="U133" s="12"/>
      <c r="V133" s="12"/>
      <c r="W133" s="12"/>
      <c r="X133" s="12"/>
      <c r="Y133" s="12"/>
      <c r="Z133" s="12"/>
      <c r="AA133" s="12"/>
      <c r="AB133" s="12"/>
      <c r="AC133" s="13"/>
      <c r="AD133" s="12">
        <v>27100000</v>
      </c>
      <c r="AE133" s="13">
        <f>AD133*F133</f>
        <v>32516246.346480004</v>
      </c>
      <c r="AF133" s="12">
        <v>16091000</v>
      </c>
      <c r="AG133" s="11">
        <f>AF133*F133</f>
        <v>19306971.216280803</v>
      </c>
      <c r="AH133" s="12">
        <f>104607000+AS133</f>
        <v>135061000</v>
      </c>
      <c r="AI133" s="12"/>
      <c r="AJ133" s="14">
        <v>4406000</v>
      </c>
      <c r="AK133" s="11">
        <f>AJ133*F133</f>
        <v>5286589.7196528008</v>
      </c>
      <c r="AL133" s="14">
        <v>7084000</v>
      </c>
      <c r="AM133" s="11">
        <f>AL133*F133</f>
        <v>8499818.7866592016</v>
      </c>
      <c r="AN133" s="12">
        <v>52468000</v>
      </c>
      <c r="AO133" s="11">
        <f>AN133*F133</f>
        <v>62954332.594358407</v>
      </c>
      <c r="AP133" s="12">
        <v>803</v>
      </c>
      <c r="AQ133" s="12">
        <v>94500000</v>
      </c>
      <c r="AR133" s="13">
        <f>AQ133*F133</f>
        <v>113386910.69160001</v>
      </c>
      <c r="AS133" s="12">
        <f>(30454)*1000</f>
        <v>30454000</v>
      </c>
      <c r="AT133" s="12">
        <f>AQ133-AS133</f>
        <v>64046000</v>
      </c>
      <c r="AU133" s="13">
        <f>AT133*F133</f>
        <v>76846328.911684811</v>
      </c>
      <c r="AV133" s="15">
        <v>50100000</v>
      </c>
      <c r="AW133" s="16">
        <f>AV133*F133</f>
        <v>60113060.588880002</v>
      </c>
      <c r="AX133" s="119">
        <v>662598000</v>
      </c>
      <c r="AY133" s="17">
        <f>AX133*F133</f>
        <v>795025822.75590241</v>
      </c>
      <c r="AZ133" s="119">
        <f>(662598+674556)/2*1000</f>
        <v>668577000</v>
      </c>
      <c r="BA133" s="119">
        <v>118575000</v>
      </c>
      <c r="BB133" s="119">
        <v>80600000</v>
      </c>
      <c r="BC133"/>
    </row>
    <row r="134" spans="1:55" x14ac:dyDescent="0.25">
      <c r="A134" s="8" t="s">
        <v>309</v>
      </c>
      <c r="B134" s="8" t="s">
        <v>321</v>
      </c>
      <c r="C134" s="9" t="s">
        <v>327</v>
      </c>
      <c r="D134" s="47" t="s">
        <v>527</v>
      </c>
      <c r="E134" s="47" t="s">
        <v>110</v>
      </c>
      <c r="F134" s="47">
        <v>1.1998614888000001</v>
      </c>
      <c r="G134" s="48">
        <v>8506658</v>
      </c>
      <c r="H134" s="48"/>
      <c r="I134" s="50">
        <v>71503</v>
      </c>
      <c r="J134" s="48">
        <v>114092000</v>
      </c>
      <c r="K134" s="49"/>
      <c r="L134" s="50">
        <v>70538000</v>
      </c>
      <c r="M134" s="49"/>
      <c r="N134" s="50">
        <v>53331000</v>
      </c>
      <c r="O134" s="51"/>
      <c r="P134" s="50">
        <v>22563000</v>
      </c>
      <c r="Q134" s="51"/>
      <c r="R134" s="50">
        <v>43554000</v>
      </c>
      <c r="S134" s="49">
        <f t="shared" si="23"/>
        <v>52258767.283195205</v>
      </c>
      <c r="T134" s="50"/>
      <c r="U134" s="50"/>
      <c r="V134" s="50"/>
      <c r="W134" s="50"/>
      <c r="X134" s="50"/>
      <c r="Y134" s="50"/>
      <c r="Z134" s="50"/>
      <c r="AA134" s="50"/>
      <c r="AB134" s="50">
        <v>14625000</v>
      </c>
      <c r="AC134" s="51"/>
      <c r="AD134" s="50"/>
      <c r="AE134" s="51"/>
      <c r="AF134" s="50">
        <v>15946000</v>
      </c>
      <c r="AG134" s="49"/>
      <c r="AH134" s="50">
        <v>88880000</v>
      </c>
      <c r="AI134" s="50"/>
      <c r="AJ134" s="52"/>
      <c r="AK134" s="49"/>
      <c r="AL134" s="52"/>
      <c r="AM134" s="49"/>
      <c r="AN134" s="50">
        <v>27154000</v>
      </c>
      <c r="AO134" s="49"/>
      <c r="AP134" s="50">
        <v>448</v>
      </c>
      <c r="AQ134" s="50">
        <v>38718000</v>
      </c>
      <c r="AR134" s="51"/>
      <c r="AS134" s="50"/>
      <c r="AT134" s="50">
        <v>24976000</v>
      </c>
      <c r="AU134" s="51"/>
      <c r="AV134" s="56">
        <v>17927000</v>
      </c>
      <c r="AW134" s="53"/>
      <c r="AX134" s="120">
        <v>260776000</v>
      </c>
      <c r="AY134" s="55"/>
      <c r="AZ134" s="120">
        <f>(260776000+26773000)/2</f>
        <v>143774500</v>
      </c>
      <c r="BA134" s="120">
        <v>54187000</v>
      </c>
      <c r="BB134" s="120">
        <v>30342000</v>
      </c>
      <c r="BC134"/>
    </row>
    <row r="135" spans="1:55" x14ac:dyDescent="0.25">
      <c r="A135" s="8" t="s">
        <v>309</v>
      </c>
      <c r="B135" s="8" t="s">
        <v>328</v>
      </c>
      <c r="C135" s="9" t="s">
        <v>329</v>
      </c>
      <c r="D135" s="8" t="s">
        <v>113</v>
      </c>
      <c r="E135" s="8" t="s">
        <v>330</v>
      </c>
      <c r="F135" s="8">
        <v>1.4763372618999999</v>
      </c>
      <c r="G135" s="10">
        <v>3502000</v>
      </c>
      <c r="H135" s="10"/>
      <c r="I135" s="12"/>
      <c r="J135" s="10">
        <v>63417000</v>
      </c>
      <c r="K135" s="11">
        <f t="shared" si="19"/>
        <v>93624880.137912288</v>
      </c>
      <c r="L135" s="12">
        <v>35407000</v>
      </c>
      <c r="M135" s="11">
        <f t="shared" si="24"/>
        <v>52272673.4320933</v>
      </c>
      <c r="N135" s="12"/>
      <c r="O135" s="13"/>
      <c r="P135" s="12"/>
      <c r="Q135" s="13">
        <f t="shared" si="22"/>
        <v>0</v>
      </c>
      <c r="R135" s="12">
        <f>J135-L135</f>
        <v>28010000</v>
      </c>
      <c r="S135" s="11">
        <f t="shared" si="23"/>
        <v>41352206.705818996</v>
      </c>
      <c r="T135" s="12"/>
      <c r="U135" s="12"/>
      <c r="V135" s="12"/>
      <c r="W135" s="12"/>
      <c r="X135" s="12" t="s">
        <v>0</v>
      </c>
      <c r="Y135" s="12"/>
      <c r="Z135" s="12"/>
      <c r="AA135" s="12"/>
      <c r="AB135" s="12"/>
      <c r="AC135" s="12"/>
      <c r="AD135" s="12"/>
      <c r="AE135" s="12"/>
      <c r="AF135" s="12"/>
      <c r="AG135" s="12"/>
      <c r="AH135" s="12">
        <f>38461000+AS135</f>
        <v>44344000</v>
      </c>
      <c r="AI135" s="12"/>
      <c r="AJ135" s="14">
        <v>2125000</v>
      </c>
      <c r="AK135" s="11">
        <f>AJ135*F135</f>
        <v>3137216.6815374997</v>
      </c>
      <c r="AL135" s="14">
        <v>2874000</v>
      </c>
      <c r="AM135" s="11">
        <f>AL135*F135</f>
        <v>4242993.2907005996</v>
      </c>
      <c r="AN135" s="12">
        <v>15242000</v>
      </c>
      <c r="AO135" s="11">
        <f>AN135*F135</f>
        <v>22502332.5458798</v>
      </c>
      <c r="AP135" s="12"/>
      <c r="AQ135" s="12">
        <v>24956000</v>
      </c>
      <c r="AR135" s="13">
        <f>AQ135*F135</f>
        <v>36843472.707976401</v>
      </c>
      <c r="AS135" s="12">
        <v>5883000</v>
      </c>
      <c r="AT135" s="10">
        <v>28879000</v>
      </c>
      <c r="AU135" s="13">
        <f>AT135*F135</f>
        <v>42635143.786410101</v>
      </c>
      <c r="AV135" s="15">
        <v>25215000</v>
      </c>
      <c r="AW135" s="16">
        <f>AV135*F135</f>
        <v>37225844.058808498</v>
      </c>
      <c r="AX135" s="119">
        <v>271819000</v>
      </c>
      <c r="AY135" s="17">
        <f>AX135*F135</f>
        <v>401296518.1923961</v>
      </c>
      <c r="AZ135" s="119"/>
      <c r="BA135" s="119"/>
      <c r="BB135" s="119"/>
      <c r="BC135"/>
    </row>
    <row r="136" spans="1:55" x14ac:dyDescent="0.25">
      <c r="A136" s="8" t="s">
        <v>309</v>
      </c>
      <c r="B136" s="8" t="s">
        <v>328</v>
      </c>
      <c r="C136" s="9" t="s">
        <v>331</v>
      </c>
      <c r="D136" s="8" t="s">
        <v>135</v>
      </c>
      <c r="E136" s="8" t="s">
        <v>330</v>
      </c>
      <c r="F136" s="8">
        <v>1.4011402388</v>
      </c>
      <c r="G136" s="10">
        <v>12884052</v>
      </c>
      <c r="H136" s="10"/>
      <c r="I136" s="12"/>
      <c r="J136" s="10">
        <v>155495000</v>
      </c>
      <c r="K136" s="11">
        <f t="shared" si="19"/>
        <v>217870301.432206</v>
      </c>
      <c r="L136" s="12">
        <v>64192000</v>
      </c>
      <c r="M136" s="11">
        <f t="shared" si="24"/>
        <v>89941994.209049597</v>
      </c>
      <c r="N136" s="12"/>
      <c r="O136" s="13"/>
      <c r="P136" s="12"/>
      <c r="Q136" s="13">
        <f t="shared" si="22"/>
        <v>0</v>
      </c>
      <c r="R136" s="12">
        <f>J136-L136</f>
        <v>91303000</v>
      </c>
      <c r="S136" s="11">
        <f t="shared" si="23"/>
        <v>127928307.22315641</v>
      </c>
      <c r="T136" s="12"/>
      <c r="U136" s="12"/>
      <c r="V136" s="12"/>
      <c r="W136" s="12"/>
      <c r="X136" s="12"/>
      <c r="Y136" s="12"/>
      <c r="Z136" s="12"/>
      <c r="AA136" s="12"/>
      <c r="AB136" s="12"/>
      <c r="AC136" s="12"/>
      <c r="AD136" s="12"/>
      <c r="AE136" s="12"/>
      <c r="AF136" s="12"/>
      <c r="AG136" s="12"/>
      <c r="AH136" s="12">
        <f>J136-AV136</f>
        <v>129094000</v>
      </c>
      <c r="AI136" s="12"/>
      <c r="AJ136" s="14"/>
      <c r="AK136" s="11"/>
      <c r="AL136" s="14"/>
      <c r="AM136" s="11"/>
      <c r="AN136" s="12">
        <v>32321000</v>
      </c>
      <c r="AO136" s="11">
        <f>AN136*F136</f>
        <v>45286253.658254802</v>
      </c>
      <c r="AP136" s="12">
        <v>825</v>
      </c>
      <c r="AQ136" s="12">
        <v>75100000</v>
      </c>
      <c r="AR136" s="13">
        <f>AQ136*F136</f>
        <v>105225631.93388</v>
      </c>
      <c r="AS136" s="12">
        <f>AQ136-AT136</f>
        <v>24582000</v>
      </c>
      <c r="AT136" s="12">
        <v>50518000</v>
      </c>
      <c r="AU136" s="13">
        <f>AT136*F136</f>
        <v>70782802.583698407</v>
      </c>
      <c r="AV136" s="15">
        <v>26401000</v>
      </c>
      <c r="AW136" s="16">
        <f>AV136*F136</f>
        <v>36991503.444558799</v>
      </c>
      <c r="AX136" s="119">
        <v>534281000</v>
      </c>
      <c r="AY136" s="17">
        <f>AX136*F136</f>
        <v>748602607.92630279</v>
      </c>
      <c r="AZ136" s="119">
        <f>(AX136+468198000+73479000)/2</f>
        <v>537979000</v>
      </c>
      <c r="BA136" s="119">
        <v>7590000</v>
      </c>
      <c r="BB136" s="119">
        <v>57457000</v>
      </c>
      <c r="BC136"/>
    </row>
    <row r="137" spans="1:55" x14ac:dyDescent="0.25">
      <c r="A137" s="8" t="s">
        <v>309</v>
      </c>
      <c r="B137" s="8" t="s">
        <v>328</v>
      </c>
      <c r="C137" s="9" t="s">
        <v>332</v>
      </c>
      <c r="D137" s="8" t="s">
        <v>79</v>
      </c>
      <c r="E137" s="8" t="s">
        <v>330</v>
      </c>
      <c r="F137" s="8">
        <v>1.4380336429</v>
      </c>
      <c r="G137" s="10">
        <v>7531000</v>
      </c>
      <c r="H137" s="10"/>
      <c r="I137" s="12"/>
      <c r="J137" s="10">
        <v>89908000</v>
      </c>
      <c r="K137" s="11">
        <f t="shared" si="19"/>
        <v>129290728.7658532</v>
      </c>
      <c r="L137" s="12">
        <v>34360000</v>
      </c>
      <c r="M137" s="11">
        <f t="shared" si="24"/>
        <v>49410835.970044002</v>
      </c>
      <c r="N137" s="12"/>
      <c r="O137" s="13"/>
      <c r="P137" s="12"/>
      <c r="Q137" s="13">
        <f t="shared" si="22"/>
        <v>0</v>
      </c>
      <c r="R137" s="12">
        <f>J137-L137</f>
        <v>55548000</v>
      </c>
      <c r="S137" s="11">
        <f t="shared" si="23"/>
        <v>79879892.795809194</v>
      </c>
      <c r="T137" s="12">
        <v>25432000</v>
      </c>
      <c r="U137" s="12"/>
      <c r="V137" s="12"/>
      <c r="W137" s="12"/>
      <c r="X137" s="12"/>
      <c r="Y137" s="12"/>
      <c r="Z137" s="12"/>
      <c r="AA137" s="12"/>
      <c r="AB137" s="12"/>
      <c r="AC137" s="12"/>
      <c r="AD137" s="12"/>
      <c r="AE137" s="12"/>
      <c r="AF137" s="12">
        <v>27270000</v>
      </c>
      <c r="AG137" s="11">
        <f>AF137*F137</f>
        <v>39215177.441882998</v>
      </c>
      <c r="AH137" s="12">
        <f>13216000+27619000+'[1]Base Data'!AU141</f>
        <v>73467000</v>
      </c>
      <c r="AI137" s="12"/>
      <c r="AJ137" s="14"/>
      <c r="AK137" s="11"/>
      <c r="AL137" s="14"/>
      <c r="AM137" s="11"/>
      <c r="AN137" s="12">
        <v>13216000</v>
      </c>
      <c r="AO137" s="11">
        <f>AN137*F137</f>
        <v>19005052.624566399</v>
      </c>
      <c r="AP137" s="12">
        <v>257</v>
      </c>
      <c r="AQ137" s="12">
        <f>6.52*G137</f>
        <v>49102120</v>
      </c>
      <c r="AR137" s="13">
        <f>AQ137*F137</f>
        <v>70610500.497712955</v>
      </c>
      <c r="AS137" s="12">
        <v>32632000</v>
      </c>
      <c r="AT137" s="12">
        <v>16344000</v>
      </c>
      <c r="AU137" s="13">
        <f>AT137*F137</f>
        <v>23503221.859557599</v>
      </c>
      <c r="AV137" s="15">
        <v>-26830000</v>
      </c>
      <c r="AW137" s="16">
        <f>AV137*F137</f>
        <v>-38582442.639007002</v>
      </c>
      <c r="AX137" s="119">
        <f>735452000+64074000</f>
        <v>799526000</v>
      </c>
      <c r="AY137" s="17">
        <f>AX137*F137</f>
        <v>1149745286.3732655</v>
      </c>
      <c r="AZ137" s="119">
        <f>(AX137+734666000+34967000)/2</f>
        <v>784579500</v>
      </c>
      <c r="BA137" s="119">
        <v>55276000</v>
      </c>
      <c r="BB137" s="119">
        <v>48412000</v>
      </c>
      <c r="BC137"/>
    </row>
    <row r="138" spans="1:55" x14ac:dyDescent="0.25">
      <c r="A138" s="8" t="s">
        <v>309</v>
      </c>
      <c r="B138" s="8" t="s">
        <v>328</v>
      </c>
      <c r="C138" s="9" t="s">
        <v>333</v>
      </c>
      <c r="D138" s="8" t="s">
        <v>135</v>
      </c>
      <c r="E138" s="8" t="s">
        <v>330</v>
      </c>
      <c r="F138" s="8">
        <v>1.4011402388</v>
      </c>
      <c r="G138" s="10">
        <v>1465227</v>
      </c>
      <c r="H138" s="10"/>
      <c r="I138" s="12">
        <v>28934</v>
      </c>
      <c r="J138" s="10">
        <v>17900000</v>
      </c>
      <c r="K138" s="11">
        <f t="shared" si="19"/>
        <v>25080410.274520002</v>
      </c>
      <c r="L138" s="12">
        <v>9600000</v>
      </c>
      <c r="M138" s="11">
        <f t="shared" si="24"/>
        <v>13450946.292480001</v>
      </c>
      <c r="N138" s="12"/>
      <c r="O138" s="13"/>
      <c r="P138" s="12"/>
      <c r="Q138" s="13">
        <f t="shared" si="22"/>
        <v>0</v>
      </c>
      <c r="R138" s="12">
        <f>J138-L138</f>
        <v>8300000</v>
      </c>
      <c r="S138" s="11">
        <f t="shared" si="23"/>
        <v>11629463.982040001</v>
      </c>
      <c r="T138" s="12"/>
      <c r="U138" s="12"/>
      <c r="V138" s="12"/>
      <c r="W138" s="12"/>
      <c r="X138" s="12"/>
      <c r="Y138" s="12"/>
      <c r="Z138" s="12"/>
      <c r="AA138" s="12"/>
      <c r="AB138" s="12"/>
      <c r="AC138" s="12"/>
      <c r="AD138" s="12"/>
      <c r="AE138" s="12"/>
      <c r="AF138" s="12"/>
      <c r="AG138" s="12"/>
      <c r="AH138" s="12"/>
      <c r="AI138" s="12"/>
      <c r="AJ138" s="15"/>
      <c r="AK138" s="12"/>
      <c r="AL138" s="15"/>
      <c r="AM138" s="11"/>
      <c r="AN138" s="12"/>
      <c r="AO138" s="12"/>
      <c r="AP138" s="12"/>
      <c r="AQ138" s="12">
        <v>7000</v>
      </c>
      <c r="AR138" s="13">
        <f>AQ138*F138</f>
        <v>9807.9816716000005</v>
      </c>
      <c r="AS138" s="12"/>
      <c r="AT138" s="12"/>
      <c r="AU138" s="12"/>
      <c r="AV138" s="15"/>
      <c r="AW138" s="16"/>
      <c r="AX138" s="121"/>
      <c r="AY138" s="17"/>
      <c r="AZ138" s="119"/>
      <c r="BA138" s="119"/>
      <c r="BB138" s="119"/>
      <c r="BC138"/>
    </row>
    <row r="139" spans="1:55" x14ac:dyDescent="0.25">
      <c r="A139" s="8" t="s">
        <v>309</v>
      </c>
      <c r="B139" s="8" t="s">
        <v>328</v>
      </c>
      <c r="C139" s="18" t="s">
        <v>334</v>
      </c>
      <c r="D139" s="8" t="s">
        <v>79</v>
      </c>
      <c r="E139" s="8" t="s">
        <v>330</v>
      </c>
      <c r="F139" s="8">
        <v>1.4380336429</v>
      </c>
      <c r="G139" s="10">
        <v>255058</v>
      </c>
      <c r="H139" s="10"/>
      <c r="I139" s="12"/>
      <c r="J139" s="10">
        <f>8516783+943732</f>
        <v>9460515</v>
      </c>
      <c r="K139" s="11">
        <f t="shared" si="19"/>
        <v>13604538.849160094</v>
      </c>
      <c r="M139" s="11"/>
      <c r="N139" s="12"/>
      <c r="O139" s="13"/>
      <c r="Q139" s="13">
        <f t="shared" si="22"/>
        <v>0</v>
      </c>
      <c r="S139" s="11"/>
      <c r="AJ139" s="26"/>
      <c r="AL139" s="26"/>
      <c r="AM139" s="11"/>
      <c r="AN139" s="12">
        <v>4113754</v>
      </c>
      <c r="AO139" s="12"/>
      <c r="AP139" s="8">
        <v>159</v>
      </c>
      <c r="AR139" s="13"/>
      <c r="AT139" s="12"/>
      <c r="AV139" s="26">
        <v>14990000</v>
      </c>
      <c r="AW139" s="16"/>
      <c r="AX139" s="121"/>
      <c r="AY139" s="17"/>
      <c r="AZ139" s="119"/>
      <c r="BA139" s="119"/>
      <c r="BB139" s="119">
        <v>83757000</v>
      </c>
      <c r="BC139" t="s">
        <v>335</v>
      </c>
    </row>
    <row r="140" spans="1:55" x14ac:dyDescent="0.25">
      <c r="A140" s="8" t="s">
        <v>309</v>
      </c>
      <c r="B140" s="8" t="s">
        <v>328</v>
      </c>
      <c r="C140" s="9" t="s">
        <v>336</v>
      </c>
      <c r="D140" s="47" t="s">
        <v>527</v>
      </c>
      <c r="E140" s="47" t="s">
        <v>330</v>
      </c>
      <c r="F140" s="47">
        <v>1.2534095315</v>
      </c>
      <c r="G140" s="48">
        <v>14300000</v>
      </c>
      <c r="H140" s="48"/>
      <c r="I140" s="50"/>
      <c r="J140" s="48">
        <v>203912000</v>
      </c>
      <c r="K140" s="49"/>
      <c r="L140" s="50">
        <v>107848000</v>
      </c>
      <c r="M140" s="49"/>
      <c r="N140" s="47"/>
      <c r="O140" s="51"/>
      <c r="P140" s="47"/>
      <c r="Q140" s="51"/>
      <c r="R140" s="103"/>
      <c r="S140" s="49"/>
      <c r="T140" s="47"/>
      <c r="U140" s="47"/>
      <c r="V140" s="47"/>
      <c r="W140" s="47"/>
      <c r="X140" s="47"/>
      <c r="Y140" s="47"/>
      <c r="Z140" s="47"/>
      <c r="AA140" s="47"/>
      <c r="AB140" s="47"/>
      <c r="AC140" s="47"/>
      <c r="AD140" s="47"/>
      <c r="AE140" s="47"/>
      <c r="AF140" s="47"/>
      <c r="AG140" s="47"/>
      <c r="AH140" s="103">
        <v>108254000</v>
      </c>
      <c r="AI140" s="103"/>
      <c r="AJ140" s="52"/>
      <c r="AK140" s="49"/>
      <c r="AL140" s="52"/>
      <c r="AM140" s="49"/>
      <c r="AN140" s="50">
        <v>32270000</v>
      </c>
      <c r="AO140" s="49"/>
      <c r="AP140" s="47">
        <v>664</v>
      </c>
      <c r="AQ140" s="50"/>
      <c r="AR140" s="51"/>
      <c r="AS140" s="50"/>
      <c r="AT140" s="50">
        <v>95700000</v>
      </c>
      <c r="AU140" s="51"/>
      <c r="AV140" s="56">
        <v>68010000</v>
      </c>
      <c r="AW140" s="53"/>
      <c r="AX140" s="120">
        <f>(1043020+74714)*1000</f>
        <v>1117734000</v>
      </c>
      <c r="AY140" s="55"/>
      <c r="AZ140" s="120"/>
      <c r="BA140" s="120">
        <v>74714000</v>
      </c>
      <c r="BB140" s="120">
        <v>109200000</v>
      </c>
      <c r="BC140"/>
    </row>
    <row r="141" spans="1:55" x14ac:dyDescent="0.25">
      <c r="A141" s="8" t="s">
        <v>309</v>
      </c>
      <c r="B141" s="8" t="s">
        <v>328</v>
      </c>
      <c r="C141" s="9" t="s">
        <v>337</v>
      </c>
      <c r="D141" s="8" t="s">
        <v>91</v>
      </c>
      <c r="E141" s="8" t="s">
        <v>330</v>
      </c>
      <c r="F141" s="8">
        <v>1.2534095315</v>
      </c>
      <c r="G141" s="10">
        <v>702000</v>
      </c>
      <c r="H141" s="10"/>
      <c r="I141" s="12"/>
      <c r="J141" s="10">
        <v>18200000</v>
      </c>
      <c r="K141" s="11">
        <f t="shared" si="19"/>
        <v>22812053.473299999</v>
      </c>
      <c r="M141" s="11"/>
      <c r="O141" s="13"/>
      <c r="Q141" s="13">
        <f t="shared" si="22"/>
        <v>0</v>
      </c>
      <c r="R141" s="41"/>
      <c r="S141" s="11">
        <f>R141*F141</f>
        <v>0</v>
      </c>
      <c r="T141" s="8">
        <v>1376000</v>
      </c>
      <c r="AF141" s="8">
        <v>1497000</v>
      </c>
      <c r="AG141" s="11">
        <f>AF141*F141</f>
        <v>1876354.0686555</v>
      </c>
      <c r="AH141" s="41">
        <f>(23387+1359)*1000</f>
        <v>24746000</v>
      </c>
      <c r="AI141" s="41"/>
      <c r="AJ141" s="14"/>
      <c r="AK141" s="11"/>
      <c r="AL141" s="14"/>
      <c r="AM141" s="11"/>
      <c r="AN141" s="12">
        <v>9406000</v>
      </c>
      <c r="AO141" s="11">
        <f>AN141*F141</f>
        <v>11789570.053289</v>
      </c>
      <c r="AP141" s="8">
        <v>315</v>
      </c>
      <c r="AQ141" s="12"/>
      <c r="AR141" s="13"/>
      <c r="AS141" s="8">
        <v>4966000</v>
      </c>
      <c r="AT141" s="19">
        <f>J141-AH141</f>
        <v>-6546000</v>
      </c>
      <c r="AU141" s="13">
        <f>AT141*F141</f>
        <v>-8204818.7931989999</v>
      </c>
      <c r="AV141" s="15">
        <v>-8612000</v>
      </c>
      <c r="AW141" s="16">
        <f>AV141*F141</f>
        <v>-10794362.885278</v>
      </c>
      <c r="AX141" s="119">
        <v>11414000</v>
      </c>
      <c r="AY141" s="17">
        <f>AX141*F141</f>
        <v>14306416.392541001</v>
      </c>
      <c r="AZ141" s="119"/>
      <c r="BA141" s="119"/>
      <c r="BB141" s="119"/>
      <c r="BC141" t="s">
        <v>338</v>
      </c>
    </row>
    <row r="142" spans="1:55" x14ac:dyDescent="0.25">
      <c r="A142" s="8" t="s">
        <v>309</v>
      </c>
      <c r="B142" s="8" t="s">
        <v>328</v>
      </c>
      <c r="C142" s="18" t="s">
        <v>339</v>
      </c>
      <c r="D142" s="8" t="s">
        <v>83</v>
      </c>
      <c r="E142" s="8" t="s">
        <v>330</v>
      </c>
      <c r="F142" s="8">
        <v>1.3502911431</v>
      </c>
      <c r="G142" s="10">
        <v>813595</v>
      </c>
      <c r="H142" s="10"/>
      <c r="I142" s="12"/>
      <c r="J142" s="10">
        <v>12300000</v>
      </c>
      <c r="K142" s="11">
        <f t="shared" si="19"/>
        <v>16608581.06013</v>
      </c>
      <c r="L142" s="12">
        <f>74%*J142</f>
        <v>9102000</v>
      </c>
      <c r="M142" s="11">
        <f>F142*L142</f>
        <v>12290349.9844962</v>
      </c>
      <c r="O142" s="13"/>
      <c r="Q142" s="13">
        <f t="shared" si="22"/>
        <v>0</v>
      </c>
      <c r="R142" s="41">
        <f>J142-L142</f>
        <v>3198000</v>
      </c>
      <c r="S142" s="11">
        <f>R142*F142</f>
        <v>4318231.0756337997</v>
      </c>
      <c r="AD142" s="41">
        <f>4%*J142</f>
        <v>492000</v>
      </c>
      <c r="AE142" s="13">
        <f>AD142*F142</f>
        <v>664343.24240520003</v>
      </c>
      <c r="AF142" s="41">
        <f>6%*J142</f>
        <v>738000</v>
      </c>
      <c r="AG142" s="11">
        <f>AF142*F142</f>
        <v>996514.86360779998</v>
      </c>
      <c r="AH142" s="12"/>
      <c r="AI142" s="12"/>
      <c r="AJ142" s="26"/>
      <c r="AL142" s="26"/>
      <c r="AM142" s="11"/>
      <c r="AQ142" s="12">
        <f>12300000-11700000</f>
        <v>600000</v>
      </c>
      <c r="AR142" s="13">
        <f>AQ142*F142</f>
        <v>810174.68585999997</v>
      </c>
      <c r="AT142" s="12"/>
      <c r="AU142" s="13"/>
      <c r="AV142" s="26"/>
      <c r="AW142" s="16"/>
      <c r="AX142" s="121"/>
      <c r="AY142" s="17"/>
      <c r="AZ142" s="119"/>
      <c r="BA142" s="119"/>
      <c r="BB142" s="119"/>
      <c r="BC142"/>
    </row>
    <row r="143" spans="1:55" x14ac:dyDescent="0.25">
      <c r="A143" s="8" t="s">
        <v>309</v>
      </c>
      <c r="B143" s="8" t="s">
        <v>328</v>
      </c>
      <c r="C143" s="18" t="s">
        <v>340</v>
      </c>
      <c r="D143" s="47" t="s">
        <v>135</v>
      </c>
      <c r="E143" s="47" t="s">
        <v>330</v>
      </c>
      <c r="F143" s="47">
        <v>1.4011402388</v>
      </c>
      <c r="G143" s="106">
        <v>1780521</v>
      </c>
      <c r="H143" s="48"/>
      <c r="I143" s="50">
        <v>135620</v>
      </c>
      <c r="J143" s="48">
        <v>24895000</v>
      </c>
      <c r="K143" s="49">
        <f t="shared" si="19"/>
        <v>34881386.244925998</v>
      </c>
      <c r="L143" s="50">
        <v>19644000</v>
      </c>
      <c r="M143" s="49"/>
      <c r="N143" s="47"/>
      <c r="O143" s="51"/>
      <c r="P143" s="47"/>
      <c r="Q143" s="51"/>
      <c r="R143" s="103">
        <f>J143-L143</f>
        <v>5251000</v>
      </c>
      <c r="S143" s="49"/>
      <c r="T143" s="47">
        <v>2548000</v>
      </c>
      <c r="U143" s="47"/>
      <c r="V143" s="47"/>
      <c r="W143" s="47"/>
      <c r="X143" s="47"/>
      <c r="Y143" s="47"/>
      <c r="Z143" s="47"/>
      <c r="AA143" s="47"/>
      <c r="AB143" s="47"/>
      <c r="AC143" s="47"/>
      <c r="AD143" s="47"/>
      <c r="AE143" s="47"/>
      <c r="AF143" s="47"/>
      <c r="AG143" s="47"/>
      <c r="AH143" s="103">
        <f>(42723+4745)*1000</f>
        <v>47468000</v>
      </c>
      <c r="AI143" s="103"/>
      <c r="AJ143" s="105"/>
      <c r="AK143" s="104"/>
      <c r="AL143" s="105"/>
      <c r="AM143" s="49"/>
      <c r="AN143" s="50">
        <v>29991000</v>
      </c>
      <c r="AO143" s="50"/>
      <c r="AP143" s="47">
        <v>613</v>
      </c>
      <c r="AQ143" s="47"/>
      <c r="AR143" s="51"/>
      <c r="AS143" s="50"/>
      <c r="AT143" s="100">
        <v>-2205000</v>
      </c>
      <c r="AU143" s="51"/>
      <c r="AV143" s="56">
        <v>3347000</v>
      </c>
      <c r="AW143" s="53"/>
      <c r="AX143" s="122">
        <v>125130000</v>
      </c>
      <c r="AY143" s="55"/>
      <c r="AZ143" s="120">
        <f>(125130000+123624000)/2</f>
        <v>124377000</v>
      </c>
      <c r="BA143" s="120">
        <v>8390000</v>
      </c>
      <c r="BB143" s="120">
        <v>-1839000</v>
      </c>
    </row>
    <row r="144" spans="1:55" x14ac:dyDescent="0.25">
      <c r="A144" s="8" t="s">
        <v>309</v>
      </c>
      <c r="B144" s="8" t="s">
        <v>328</v>
      </c>
      <c r="C144" s="18" t="s">
        <v>341</v>
      </c>
      <c r="D144" s="8" t="s">
        <v>91</v>
      </c>
      <c r="E144" s="8" t="s">
        <v>330</v>
      </c>
      <c r="F144" s="8">
        <v>1.2534095315</v>
      </c>
      <c r="G144" s="10">
        <v>4800000</v>
      </c>
      <c r="H144" s="107"/>
      <c r="I144" s="12"/>
      <c r="J144" s="10">
        <v>30300000</v>
      </c>
      <c r="K144" s="11">
        <f t="shared" si="19"/>
        <v>37978308.804449998</v>
      </c>
      <c r="M144" s="11"/>
      <c r="O144" s="13"/>
      <c r="Q144" s="13">
        <f t="shared" si="22"/>
        <v>0</v>
      </c>
      <c r="S144" s="11"/>
      <c r="AJ144" s="26"/>
      <c r="AL144" s="26"/>
      <c r="AM144" s="11"/>
      <c r="AR144" s="13"/>
      <c r="AT144" s="12">
        <v>2600000</v>
      </c>
      <c r="AV144" s="26"/>
      <c r="AW144" s="16"/>
      <c r="AX144" s="121"/>
      <c r="AY144" s="17"/>
      <c r="AZ144" s="119"/>
      <c r="BA144" s="119"/>
      <c r="BB144" s="119"/>
      <c r="BC144"/>
    </row>
    <row r="145" spans="1:55" x14ac:dyDescent="0.25">
      <c r="A145" s="8" t="s">
        <v>309</v>
      </c>
      <c r="B145" s="8" t="s">
        <v>328</v>
      </c>
      <c r="C145" s="18" t="s">
        <v>342</v>
      </c>
      <c r="D145" s="8" t="s">
        <v>83</v>
      </c>
      <c r="E145" s="8" t="s">
        <v>330</v>
      </c>
      <c r="F145" s="8">
        <v>1.3502911431</v>
      </c>
      <c r="G145" s="10">
        <v>4500000</v>
      </c>
      <c r="H145" s="10"/>
      <c r="I145" s="12"/>
      <c r="J145" s="10">
        <v>112000000</v>
      </c>
      <c r="K145" s="11">
        <f t="shared" si="19"/>
        <v>151232608.02719998</v>
      </c>
      <c r="M145" s="11"/>
      <c r="O145" s="13"/>
      <c r="Q145" s="13">
        <f t="shared" si="22"/>
        <v>0</v>
      </c>
      <c r="S145" s="11"/>
      <c r="AJ145" s="26"/>
      <c r="AL145" s="26"/>
      <c r="AM145" s="11"/>
      <c r="AR145" s="13"/>
      <c r="AV145" s="12">
        <v>28500000</v>
      </c>
      <c r="AW145" s="16">
        <f>AV145*F145</f>
        <v>38483297.57835</v>
      </c>
      <c r="AX145" s="119"/>
      <c r="AY145" s="17"/>
      <c r="AZ145" s="119"/>
      <c r="BA145" s="119"/>
      <c r="BB145" s="119"/>
      <c r="BC145"/>
    </row>
    <row r="146" spans="1:55" x14ac:dyDescent="0.25">
      <c r="A146" s="8" t="s">
        <v>309</v>
      </c>
      <c r="B146" s="8" t="s">
        <v>328</v>
      </c>
      <c r="C146" s="9" t="s">
        <v>343</v>
      </c>
      <c r="D146" s="47" t="s">
        <v>529</v>
      </c>
      <c r="E146" s="47" t="s">
        <v>330</v>
      </c>
      <c r="F146" s="47">
        <v>1.4011402388</v>
      </c>
      <c r="G146" s="48">
        <v>46442154</v>
      </c>
      <c r="H146" s="48"/>
      <c r="I146" s="50">
        <v>281741</v>
      </c>
      <c r="J146" s="48">
        <v>810800000</v>
      </c>
      <c r="K146" s="49">
        <f>J146*F146</f>
        <v>1136044505.61904</v>
      </c>
      <c r="L146" s="50">
        <v>427800000</v>
      </c>
      <c r="M146" s="49"/>
      <c r="N146" s="47"/>
      <c r="O146" s="51"/>
      <c r="P146" s="47"/>
      <c r="Q146" s="51"/>
      <c r="R146" s="103">
        <f t="shared" ref="R146:R152" si="25">J146-L146</f>
        <v>383000000</v>
      </c>
      <c r="S146" s="49"/>
      <c r="T146" s="47"/>
      <c r="U146" s="50"/>
      <c r="V146" s="108"/>
      <c r="W146" s="50"/>
      <c r="X146" s="50">
        <f>59100000+44100000</f>
        <v>103200000</v>
      </c>
      <c r="Y146" s="51"/>
      <c r="Z146" s="50">
        <v>41800000</v>
      </c>
      <c r="AA146" s="51"/>
      <c r="AB146" s="50">
        <f>X146+Z146</f>
        <v>145000000</v>
      </c>
      <c r="AC146" s="51"/>
      <c r="AD146" s="47"/>
      <c r="AE146" s="47"/>
      <c r="AF146" s="50">
        <v>88300000</v>
      </c>
      <c r="AG146" s="49"/>
      <c r="AH146" s="50">
        <v>539400000</v>
      </c>
      <c r="AI146" s="50"/>
      <c r="AJ146" s="52">
        <v>23100000</v>
      </c>
      <c r="AK146" s="49"/>
      <c r="AL146" s="52">
        <v>45200000</v>
      </c>
      <c r="AM146" s="49"/>
      <c r="AN146" s="50">
        <v>203600000</v>
      </c>
      <c r="AO146" s="49"/>
      <c r="AP146" s="50">
        <v>3037</v>
      </c>
      <c r="AQ146" s="50">
        <v>441400000</v>
      </c>
      <c r="AR146" s="51"/>
      <c r="AS146" s="50"/>
      <c r="AT146" s="50">
        <v>271400000</v>
      </c>
      <c r="AU146" s="51"/>
      <c r="AV146" s="56">
        <v>196800000</v>
      </c>
      <c r="AW146" s="53"/>
      <c r="AX146" s="120">
        <v>3589400000</v>
      </c>
      <c r="AY146" s="55"/>
      <c r="AZ146" s="120">
        <f>(3589.4+3392.7)/2*1000000</f>
        <v>3491050000</v>
      </c>
      <c r="BA146" s="120">
        <v>153900000</v>
      </c>
      <c r="BB146" s="120">
        <v>409000000</v>
      </c>
      <c r="BC146"/>
    </row>
    <row r="147" spans="1:55" x14ac:dyDescent="0.25">
      <c r="A147" s="8" t="s">
        <v>309</v>
      </c>
      <c r="B147" s="8" t="s">
        <v>328</v>
      </c>
      <c r="C147" s="9" t="s">
        <v>544</v>
      </c>
      <c r="D147" s="73" t="s">
        <v>527</v>
      </c>
      <c r="E147" s="73" t="s">
        <v>330</v>
      </c>
      <c r="F147" s="73">
        <v>1.3502911431</v>
      </c>
      <c r="G147" s="74">
        <v>80100000</v>
      </c>
      <c r="H147" s="74"/>
      <c r="I147" s="75">
        <v>472744</v>
      </c>
      <c r="J147" s="74">
        <v>2970000000</v>
      </c>
      <c r="K147" s="76"/>
      <c r="L147" s="75">
        <v>1745000000</v>
      </c>
      <c r="M147" s="76"/>
      <c r="N147" s="73"/>
      <c r="O147" s="77"/>
      <c r="P147" s="73"/>
      <c r="Q147" s="77"/>
      <c r="R147" s="103">
        <f t="shared" si="25"/>
        <v>1225000000</v>
      </c>
      <c r="S147" s="76"/>
      <c r="T147" s="73"/>
      <c r="U147" s="73"/>
      <c r="V147" s="73"/>
      <c r="W147" s="73"/>
      <c r="X147" s="75">
        <v>323000000</v>
      </c>
      <c r="Y147" s="77"/>
      <c r="Z147" s="75">
        <v>61000000</v>
      </c>
      <c r="AA147" s="77"/>
      <c r="AB147" s="75">
        <f>X147+Z147</f>
        <v>384000000</v>
      </c>
      <c r="AC147" s="77"/>
      <c r="AD147" s="73"/>
      <c r="AE147" s="73"/>
      <c r="AF147" s="75">
        <v>126000000</v>
      </c>
      <c r="AG147" s="76"/>
      <c r="AH147" s="75">
        <f>(1130+752)*1000000</f>
        <v>1882000000</v>
      </c>
      <c r="AI147" s="75"/>
      <c r="AJ147" s="82">
        <v>91000000</v>
      </c>
      <c r="AK147" s="76"/>
      <c r="AL147" s="82">
        <v>177000000</v>
      </c>
      <c r="AM147" s="76"/>
      <c r="AN147" s="75">
        <v>390000000</v>
      </c>
      <c r="AO147" s="76"/>
      <c r="AP147" s="75">
        <v>6743</v>
      </c>
      <c r="AQ147" s="75">
        <v>1840000000</v>
      </c>
      <c r="AR147" s="77"/>
      <c r="AS147" s="75"/>
      <c r="AT147" s="75">
        <v>1088000000</v>
      </c>
      <c r="AU147" s="77"/>
      <c r="AV147" s="78">
        <v>562000000</v>
      </c>
      <c r="AW147" s="79"/>
      <c r="AX147" s="124">
        <v>18797000000</v>
      </c>
      <c r="AY147" s="80"/>
      <c r="AZ147" s="124">
        <f>(18395000000+18797000000)/2</f>
        <v>18596000000</v>
      </c>
      <c r="BA147" s="124"/>
      <c r="BB147" s="124">
        <v>1792000000</v>
      </c>
      <c r="BC147"/>
    </row>
    <row r="148" spans="1:55" x14ac:dyDescent="0.25">
      <c r="A148" s="8" t="s">
        <v>309</v>
      </c>
      <c r="B148" s="8" t="s">
        <v>328</v>
      </c>
      <c r="C148" s="9" t="s">
        <v>344</v>
      </c>
      <c r="D148" s="73" t="s">
        <v>534</v>
      </c>
      <c r="E148" s="73" t="s">
        <v>330</v>
      </c>
      <c r="F148" s="73">
        <v>1.3502911431</v>
      </c>
      <c r="G148" s="109">
        <v>16600000</v>
      </c>
      <c r="H148" s="109"/>
      <c r="I148" s="75"/>
      <c r="J148" s="74">
        <v>201315000</v>
      </c>
      <c r="K148" s="76"/>
      <c r="L148" s="75">
        <v>89891000</v>
      </c>
      <c r="M148" s="76"/>
      <c r="N148" s="73"/>
      <c r="O148" s="77"/>
      <c r="P148" s="73"/>
      <c r="Q148" s="77"/>
      <c r="R148" s="103">
        <f t="shared" si="25"/>
        <v>111424000</v>
      </c>
      <c r="S148" s="76"/>
      <c r="T148" s="73"/>
      <c r="U148" s="73"/>
      <c r="V148" s="73"/>
      <c r="W148" s="73"/>
      <c r="X148" s="73"/>
      <c r="Y148" s="73"/>
      <c r="Z148" s="73"/>
      <c r="AA148" s="73"/>
      <c r="AB148" s="75"/>
      <c r="AC148" s="75"/>
      <c r="AD148" s="73"/>
      <c r="AE148" s="73"/>
      <c r="AF148" s="73"/>
      <c r="AG148" s="73"/>
      <c r="AH148" s="75">
        <v>151460000</v>
      </c>
      <c r="AI148" s="75"/>
      <c r="AJ148" s="82"/>
      <c r="AK148" s="76"/>
      <c r="AL148" s="82"/>
      <c r="AM148" s="76"/>
      <c r="AN148" s="75">
        <v>36510000</v>
      </c>
      <c r="AO148" s="76"/>
      <c r="AP148" s="73">
        <v>788</v>
      </c>
      <c r="AQ148" s="75">
        <v>74416000</v>
      </c>
      <c r="AR148" s="77"/>
      <c r="AS148" s="75"/>
      <c r="AT148" s="75">
        <v>49855000</v>
      </c>
      <c r="AU148" s="77"/>
      <c r="AV148" s="78">
        <v>38805000</v>
      </c>
      <c r="AW148" s="79"/>
      <c r="AX148" s="124">
        <v>257701000</v>
      </c>
      <c r="AY148" s="80"/>
      <c r="AZ148" s="124"/>
      <c r="BA148" s="124"/>
      <c r="BB148" s="124"/>
      <c r="BC148"/>
    </row>
    <row r="149" spans="1:55" x14ac:dyDescent="0.25">
      <c r="C149" s="9" t="s">
        <v>535</v>
      </c>
      <c r="D149" s="73" t="s">
        <v>529</v>
      </c>
      <c r="E149" s="73" t="s">
        <v>330</v>
      </c>
      <c r="F149" s="47">
        <v>1.4011402388</v>
      </c>
      <c r="G149" s="109">
        <v>61800000</v>
      </c>
      <c r="H149" s="109"/>
      <c r="I149" s="75"/>
      <c r="J149" s="74">
        <v>889400000</v>
      </c>
      <c r="K149" s="76"/>
      <c r="L149" s="75">
        <v>345500000</v>
      </c>
      <c r="M149" s="76"/>
      <c r="N149" s="73"/>
      <c r="O149" s="77"/>
      <c r="P149" s="73"/>
      <c r="Q149" s="77"/>
      <c r="R149" s="103">
        <f t="shared" si="25"/>
        <v>543900000</v>
      </c>
      <c r="S149" s="76"/>
      <c r="T149" s="73"/>
      <c r="U149" s="73"/>
      <c r="V149" s="73"/>
      <c r="W149" s="73"/>
      <c r="X149" s="73"/>
      <c r="Y149" s="73"/>
      <c r="Z149" s="73"/>
      <c r="AA149" s="73"/>
      <c r="AB149" s="75">
        <v>198100000</v>
      </c>
      <c r="AC149" s="75"/>
      <c r="AD149" s="73"/>
      <c r="AE149" s="73"/>
      <c r="AF149" s="73">
        <v>221400000</v>
      </c>
      <c r="AG149" s="73"/>
      <c r="AH149" s="75"/>
      <c r="AI149" s="75"/>
      <c r="AJ149" s="82"/>
      <c r="AK149" s="76"/>
      <c r="AL149" s="82"/>
      <c r="AM149" s="76"/>
      <c r="AN149" s="75"/>
      <c r="AO149" s="76"/>
      <c r="AP149" s="73"/>
      <c r="AQ149" s="75">
        <v>379800000</v>
      </c>
      <c r="AR149" s="77"/>
      <c r="AS149" s="75"/>
      <c r="AT149" s="75">
        <v>226000000</v>
      </c>
      <c r="AU149" s="77"/>
      <c r="AV149" s="78"/>
      <c r="AW149" s="79"/>
      <c r="AX149" s="124">
        <f>(2253.1+467.7)*1000000</f>
        <v>2720799999.9999995</v>
      </c>
      <c r="AY149" s="80"/>
      <c r="AZ149" s="124">
        <v>2720799999.9999995</v>
      </c>
      <c r="BA149" s="124">
        <v>252600000</v>
      </c>
      <c r="BB149" s="124">
        <v>411000000</v>
      </c>
      <c r="BC149"/>
    </row>
    <row r="150" spans="1:55" x14ac:dyDescent="0.25">
      <c r="A150" s="8" t="s">
        <v>309</v>
      </c>
      <c r="B150" s="8" t="s">
        <v>328</v>
      </c>
      <c r="C150" s="9" t="s">
        <v>345</v>
      </c>
      <c r="D150" s="73" t="s">
        <v>529</v>
      </c>
      <c r="E150" s="73" t="s">
        <v>330</v>
      </c>
      <c r="F150" s="47">
        <v>1.4011402388</v>
      </c>
      <c r="G150" s="109">
        <v>28600000</v>
      </c>
      <c r="H150" s="109"/>
      <c r="I150" s="75"/>
      <c r="J150" s="74">
        <v>452700000</v>
      </c>
      <c r="K150" s="76"/>
      <c r="L150" s="75">
        <f>6.1*G150</f>
        <v>174460000</v>
      </c>
      <c r="M150" s="76"/>
      <c r="N150" s="73"/>
      <c r="O150" s="77"/>
      <c r="P150" s="73"/>
      <c r="Q150" s="77"/>
      <c r="R150" s="103">
        <f t="shared" si="25"/>
        <v>278240000</v>
      </c>
      <c r="S150" s="76"/>
      <c r="T150" s="73"/>
      <c r="U150" s="73"/>
      <c r="V150" s="73"/>
      <c r="W150" s="73"/>
      <c r="X150" s="73"/>
      <c r="Y150" s="73"/>
      <c r="Z150" s="73"/>
      <c r="AA150" s="73"/>
      <c r="AB150" s="75"/>
      <c r="AC150" s="75"/>
      <c r="AD150" s="73"/>
      <c r="AE150" s="73"/>
      <c r="AF150" s="73"/>
      <c r="AG150" s="73"/>
      <c r="AH150" s="75">
        <f>11*G150</f>
        <v>314600000</v>
      </c>
      <c r="AI150" s="75"/>
      <c r="AJ150" s="82"/>
      <c r="AK150" s="76"/>
      <c r="AL150" s="82"/>
      <c r="AM150" s="76"/>
      <c r="AN150" s="75"/>
      <c r="AO150" s="76"/>
      <c r="AP150" s="73"/>
      <c r="AQ150" s="75">
        <v>188500000</v>
      </c>
      <c r="AR150" s="77"/>
      <c r="AS150" s="75"/>
      <c r="AT150" s="75"/>
      <c r="AU150" s="77"/>
      <c r="AV150" s="78"/>
      <c r="AW150" s="79"/>
      <c r="AX150" s="124"/>
      <c r="AY150" s="80"/>
      <c r="AZ150" s="124"/>
      <c r="BA150" s="124"/>
      <c r="BB150" s="124"/>
      <c r="BC150"/>
    </row>
    <row r="151" spans="1:55" x14ac:dyDescent="0.25">
      <c r="A151" s="8" t="s">
        <v>309</v>
      </c>
      <c r="B151" s="8" t="s">
        <v>328</v>
      </c>
      <c r="C151" s="9" t="s">
        <v>346</v>
      </c>
      <c r="D151" s="73" t="s">
        <v>529</v>
      </c>
      <c r="E151" s="73" t="s">
        <v>330</v>
      </c>
      <c r="F151" s="47">
        <v>1.4011402388</v>
      </c>
      <c r="G151" s="109">
        <v>28400000</v>
      </c>
      <c r="H151" s="109"/>
      <c r="I151" s="75"/>
      <c r="J151" s="74">
        <v>359300000</v>
      </c>
      <c r="K151" s="76"/>
      <c r="L151" s="75">
        <f>5.5*G151</f>
        <v>156200000</v>
      </c>
      <c r="M151" s="76"/>
      <c r="N151" s="73"/>
      <c r="O151" s="77"/>
      <c r="P151" s="73"/>
      <c r="Q151" s="77"/>
      <c r="R151" s="103">
        <f t="shared" si="25"/>
        <v>203100000</v>
      </c>
      <c r="S151" s="76"/>
      <c r="T151" s="73"/>
      <c r="U151" s="73"/>
      <c r="V151" s="73"/>
      <c r="W151" s="73"/>
      <c r="X151" s="73"/>
      <c r="Y151" s="73"/>
      <c r="Z151" s="73"/>
      <c r="AA151" s="73"/>
      <c r="AB151" s="75"/>
      <c r="AC151" s="75"/>
      <c r="AD151" s="73"/>
      <c r="AE151" s="73"/>
      <c r="AF151" s="73"/>
      <c r="AG151" s="73"/>
      <c r="AH151" s="75">
        <f>9*G151</f>
        <v>255600000</v>
      </c>
      <c r="AI151" s="75"/>
      <c r="AJ151" s="82"/>
      <c r="AK151" s="76"/>
      <c r="AL151" s="82"/>
      <c r="AM151" s="76"/>
      <c r="AN151" s="75"/>
      <c r="AO151" s="76"/>
      <c r="AP151" s="73"/>
      <c r="AQ151" s="75">
        <v>166400000</v>
      </c>
      <c r="AR151" s="77"/>
      <c r="AS151" s="75"/>
      <c r="AT151" s="75"/>
      <c r="AU151" s="77"/>
      <c r="AV151" s="78"/>
      <c r="AW151" s="79"/>
      <c r="AX151" s="124"/>
      <c r="AY151" s="80"/>
      <c r="AZ151" s="124"/>
      <c r="BA151" s="124"/>
      <c r="BB151" s="124"/>
      <c r="BC151"/>
    </row>
    <row r="152" spans="1:55" x14ac:dyDescent="0.25">
      <c r="A152" s="8" t="s">
        <v>309</v>
      </c>
      <c r="B152" s="8" t="s">
        <v>328</v>
      </c>
      <c r="C152" s="9" t="s">
        <v>347</v>
      </c>
      <c r="D152" s="73" t="s">
        <v>529</v>
      </c>
      <c r="E152" s="73" t="s">
        <v>330</v>
      </c>
      <c r="F152" s="47">
        <v>1.4011402388</v>
      </c>
      <c r="G152" s="110">
        <v>4900000</v>
      </c>
      <c r="H152" s="109"/>
      <c r="I152" s="75"/>
      <c r="J152" s="74">
        <v>68900000</v>
      </c>
      <c r="K152" s="76"/>
      <c r="L152" s="75">
        <f>5.1*G152</f>
        <v>24990000</v>
      </c>
      <c r="M152" s="76"/>
      <c r="N152" s="73"/>
      <c r="O152" s="77"/>
      <c r="P152" s="73"/>
      <c r="Q152" s="77"/>
      <c r="R152" s="103">
        <f t="shared" si="25"/>
        <v>43910000</v>
      </c>
      <c r="S152" s="76"/>
      <c r="T152" s="73"/>
      <c r="U152" s="73"/>
      <c r="V152" s="73"/>
      <c r="W152" s="73"/>
      <c r="X152" s="73"/>
      <c r="Y152" s="73"/>
      <c r="Z152" s="73"/>
      <c r="AA152" s="73"/>
      <c r="AB152" s="75"/>
      <c r="AC152" s="75"/>
      <c r="AD152" s="73"/>
      <c r="AE152" s="73"/>
      <c r="AF152" s="73"/>
      <c r="AG152" s="73"/>
      <c r="AH152" s="75">
        <f>11.8*G152</f>
        <v>57820000</v>
      </c>
      <c r="AI152" s="75"/>
      <c r="AJ152" s="82"/>
      <c r="AK152" s="76"/>
      <c r="AL152" s="82"/>
      <c r="AM152" s="76"/>
      <c r="AN152" s="75"/>
      <c r="AO152" s="76"/>
      <c r="AP152" s="73"/>
      <c r="AQ152" s="75">
        <v>23400000</v>
      </c>
      <c r="AR152" s="77"/>
      <c r="AS152" s="75"/>
      <c r="AT152" s="75"/>
      <c r="AU152" s="77"/>
      <c r="AV152" s="78"/>
      <c r="AW152" s="79"/>
      <c r="AX152" s="124"/>
      <c r="AY152" s="80"/>
      <c r="AZ152" s="124"/>
      <c r="BA152" s="124"/>
      <c r="BB152" s="124"/>
      <c r="BC152"/>
    </row>
    <row r="153" spans="1:55" x14ac:dyDescent="0.25">
      <c r="A153" s="8" t="s">
        <v>309</v>
      </c>
      <c r="B153" s="8" t="s">
        <v>328</v>
      </c>
      <c r="C153" s="9" t="s">
        <v>348</v>
      </c>
      <c r="D153" s="73" t="s">
        <v>529</v>
      </c>
      <c r="E153" s="73" t="s">
        <v>330</v>
      </c>
      <c r="F153" s="73">
        <v>1.2332099999999999</v>
      </c>
      <c r="G153" s="109">
        <v>1500000</v>
      </c>
      <c r="H153" s="109"/>
      <c r="I153" s="75"/>
      <c r="J153" s="74">
        <v>39400000</v>
      </c>
      <c r="K153" s="76">
        <f t="shared" si="19"/>
        <v>48588474</v>
      </c>
      <c r="L153" s="75"/>
      <c r="M153" s="76"/>
      <c r="N153" s="73"/>
      <c r="O153" s="77"/>
      <c r="P153" s="73"/>
      <c r="Q153" s="77">
        <f t="shared" si="22"/>
        <v>0</v>
      </c>
      <c r="R153" s="73"/>
      <c r="S153" s="76"/>
      <c r="T153" s="73"/>
      <c r="U153" s="73"/>
      <c r="V153" s="73"/>
      <c r="W153" s="73"/>
      <c r="X153" s="73"/>
      <c r="Y153" s="73"/>
      <c r="Z153" s="73"/>
      <c r="AA153" s="73"/>
      <c r="AB153" s="75"/>
      <c r="AC153" s="75"/>
      <c r="AD153" s="73"/>
      <c r="AE153" s="73"/>
      <c r="AF153" s="73"/>
      <c r="AG153" s="73"/>
      <c r="AH153" s="73"/>
      <c r="AI153" s="73"/>
      <c r="AJ153" s="111"/>
      <c r="AK153" s="73"/>
      <c r="AL153" s="111"/>
      <c r="AM153" s="76"/>
      <c r="AN153" s="73"/>
      <c r="AO153" s="73"/>
      <c r="AP153" s="73"/>
      <c r="AQ153" s="75">
        <v>4900000</v>
      </c>
      <c r="AR153" s="77">
        <f>AQ153*F153</f>
        <v>6042729</v>
      </c>
      <c r="AS153" s="73"/>
      <c r="AT153" s="75"/>
      <c r="AU153" s="73"/>
      <c r="AV153" s="111"/>
      <c r="AW153" s="79"/>
      <c r="AX153" s="125"/>
      <c r="AY153" s="79"/>
      <c r="AZ153" s="125"/>
      <c r="BA153" s="125"/>
      <c r="BB153" s="125"/>
      <c r="BC153"/>
    </row>
    <row r="154" spans="1:55" x14ac:dyDescent="0.25">
      <c r="A154" s="8" t="s">
        <v>309</v>
      </c>
      <c r="B154" s="8" t="s">
        <v>328</v>
      </c>
      <c r="C154" s="9" t="s">
        <v>349</v>
      </c>
      <c r="D154" s="8" t="s">
        <v>135</v>
      </c>
      <c r="E154" s="8" t="s">
        <v>330</v>
      </c>
      <c r="F154" s="8">
        <v>1.4011402388</v>
      </c>
      <c r="G154" s="30">
        <v>2300000</v>
      </c>
      <c r="H154" s="30"/>
      <c r="I154" s="12">
        <v>215000</v>
      </c>
      <c r="J154" s="10">
        <v>45200000</v>
      </c>
      <c r="K154" s="11">
        <f t="shared" ref="K154:K224" si="26">J154*F154</f>
        <v>63331538.793760002</v>
      </c>
      <c r="M154" s="11"/>
      <c r="O154" s="13"/>
      <c r="Q154" s="13">
        <f t="shared" si="22"/>
        <v>0</v>
      </c>
      <c r="S154" s="11"/>
      <c r="AB154" s="12"/>
      <c r="AC154" s="12"/>
      <c r="AJ154" s="26"/>
      <c r="AL154" s="26"/>
      <c r="AM154" s="11"/>
      <c r="AQ154" s="12">
        <v>7500000</v>
      </c>
      <c r="AR154" s="13">
        <f>AQ154*F154</f>
        <v>10508551.791000001</v>
      </c>
      <c r="AT154" s="12"/>
      <c r="AV154" s="26"/>
      <c r="AW154" s="16"/>
      <c r="AX154" s="121"/>
      <c r="AY154" s="16"/>
      <c r="AZ154" s="121"/>
      <c r="BA154" s="121"/>
      <c r="BB154" s="121"/>
      <c r="BC154"/>
    </row>
    <row r="155" spans="1:55" x14ac:dyDescent="0.25">
      <c r="A155" s="8" t="s">
        <v>309</v>
      </c>
      <c r="B155" s="8" t="s">
        <v>350</v>
      </c>
      <c r="C155" s="9" t="s">
        <v>351</v>
      </c>
      <c r="D155" s="73" t="s">
        <v>527</v>
      </c>
      <c r="E155" s="73" t="s">
        <v>352</v>
      </c>
      <c r="F155" s="73">
        <v>1.0259274936</v>
      </c>
      <c r="G155" s="109">
        <v>17677035</v>
      </c>
      <c r="H155" s="109"/>
      <c r="I155" s="75"/>
      <c r="J155" s="74">
        <v>490200000</v>
      </c>
      <c r="K155" s="76"/>
      <c r="L155" s="75">
        <v>276230000</v>
      </c>
      <c r="M155" s="76"/>
      <c r="N155" s="75">
        <v>214399</v>
      </c>
      <c r="O155" s="77"/>
      <c r="P155" s="75">
        <v>44305</v>
      </c>
      <c r="Q155" s="77"/>
      <c r="R155" s="75">
        <v>214011000</v>
      </c>
      <c r="S155" s="76"/>
      <c r="T155" s="73"/>
      <c r="U155" s="112"/>
      <c r="V155" s="84"/>
      <c r="W155" s="113"/>
      <c r="X155" s="113"/>
      <c r="Y155" s="77"/>
      <c r="Z155" s="73"/>
      <c r="AA155" s="77"/>
      <c r="AB155" s="75"/>
      <c r="AC155" s="77"/>
      <c r="AD155" s="113"/>
      <c r="AE155" s="113"/>
      <c r="AF155" s="75">
        <v>49450000</v>
      </c>
      <c r="AG155" s="76"/>
      <c r="AH155" s="75">
        <f>(319928+87715)*1000</f>
        <v>407643000</v>
      </c>
      <c r="AI155" s="75"/>
      <c r="AJ155" s="82"/>
      <c r="AK155" s="76"/>
      <c r="AL155" s="82"/>
      <c r="AM155" s="76"/>
      <c r="AN155" s="75">
        <v>154262000</v>
      </c>
      <c r="AO155" s="76"/>
      <c r="AP155" s="73"/>
      <c r="AQ155" s="75">
        <v>170300000</v>
      </c>
      <c r="AR155" s="77"/>
      <c r="AS155" s="75"/>
      <c r="AT155" s="75"/>
      <c r="AU155" s="77"/>
      <c r="AV155" s="78">
        <v>85100000</v>
      </c>
      <c r="AW155" s="79"/>
      <c r="AX155" s="124">
        <v>1128010000</v>
      </c>
      <c r="AY155" s="80"/>
      <c r="AZ155" s="124">
        <f>(1128010+1031128)/2*1000</f>
        <v>1079569000</v>
      </c>
      <c r="BA155" s="124">
        <v>93515000</v>
      </c>
      <c r="BB155" s="124">
        <v>217300000</v>
      </c>
      <c r="BC155"/>
    </row>
    <row r="156" spans="1:55" x14ac:dyDescent="0.25">
      <c r="A156" s="8" t="s">
        <v>309</v>
      </c>
      <c r="B156" s="8" t="s">
        <v>350</v>
      </c>
      <c r="C156" s="9" t="s">
        <v>353</v>
      </c>
      <c r="D156" s="73" t="s">
        <v>527</v>
      </c>
      <c r="E156" s="73" t="s">
        <v>352</v>
      </c>
      <c r="F156" s="73">
        <v>1.0259274936</v>
      </c>
      <c r="G156" s="109">
        <v>31113488</v>
      </c>
      <c r="H156" s="109"/>
      <c r="I156" s="75"/>
      <c r="J156" s="74">
        <v>1152587000</v>
      </c>
      <c r="K156" s="76"/>
      <c r="L156" s="75">
        <v>656667000</v>
      </c>
      <c r="M156" s="76"/>
      <c r="N156" s="75">
        <v>278548</v>
      </c>
      <c r="O156" s="77"/>
      <c r="P156" s="75"/>
      <c r="Q156" s="77"/>
      <c r="R156" s="75">
        <v>496230000</v>
      </c>
      <c r="S156" s="76"/>
      <c r="T156" s="73"/>
      <c r="U156" s="113"/>
      <c r="V156" s="113"/>
      <c r="W156" s="113"/>
      <c r="X156" s="113"/>
      <c r="Y156" s="77"/>
      <c r="Z156" s="75"/>
      <c r="AA156" s="77"/>
      <c r="AB156" s="75"/>
      <c r="AC156" s="77"/>
      <c r="AD156" s="113"/>
      <c r="AE156" s="113"/>
      <c r="AF156" s="75"/>
      <c r="AG156" s="76"/>
      <c r="AH156" s="75">
        <v>581918000</v>
      </c>
      <c r="AI156" s="75"/>
      <c r="AJ156" s="82"/>
      <c r="AK156" s="76"/>
      <c r="AL156" s="82"/>
      <c r="AM156" s="76"/>
      <c r="AN156" s="75">
        <v>211500000</v>
      </c>
      <c r="AO156" s="76"/>
      <c r="AP156" s="73">
        <v>1757</v>
      </c>
      <c r="AQ156" s="75">
        <v>570979000</v>
      </c>
      <c r="AR156" s="77"/>
      <c r="AS156" s="75"/>
      <c r="AT156" s="75">
        <v>326527000</v>
      </c>
      <c r="AU156" s="77"/>
      <c r="AV156" s="78">
        <v>237841000</v>
      </c>
      <c r="AW156" s="79"/>
      <c r="AX156" s="124">
        <v>4365319000</v>
      </c>
      <c r="AY156" s="80"/>
      <c r="AZ156" s="124">
        <f xml:space="preserve"> (4365319000+ 4298729000)/2</f>
        <v>4332024000</v>
      </c>
      <c r="BA156" s="124">
        <v>273260000</v>
      </c>
      <c r="BB156" s="124">
        <v>538359000</v>
      </c>
      <c r="BC156"/>
    </row>
    <row r="157" spans="1:55" x14ac:dyDescent="0.25">
      <c r="A157" s="8" t="s">
        <v>309</v>
      </c>
      <c r="B157" s="8" t="s">
        <v>354</v>
      </c>
      <c r="C157" s="18" t="s">
        <v>355</v>
      </c>
      <c r="D157" s="73" t="s">
        <v>527</v>
      </c>
      <c r="E157" s="73" t="s">
        <v>352</v>
      </c>
      <c r="F157" s="73">
        <v>1.0259274936</v>
      </c>
      <c r="G157" s="109">
        <v>8578064</v>
      </c>
      <c r="H157" s="109"/>
      <c r="I157" s="75">
        <v>97271</v>
      </c>
      <c r="J157" s="74">
        <v>143100000</v>
      </c>
      <c r="K157" s="76"/>
      <c r="L157" s="75">
        <v>73600000</v>
      </c>
      <c r="M157" s="76"/>
      <c r="N157" s="75"/>
      <c r="O157" s="77"/>
      <c r="P157" s="75"/>
      <c r="Q157" s="77"/>
      <c r="R157" s="75">
        <f>J157-L157</f>
        <v>69500000</v>
      </c>
      <c r="S157" s="76"/>
      <c r="T157" s="73"/>
      <c r="U157" s="113"/>
      <c r="V157" s="113"/>
      <c r="W157" s="113"/>
      <c r="X157" s="113"/>
      <c r="Y157" s="113"/>
      <c r="Z157" s="75"/>
      <c r="AA157" s="75"/>
      <c r="AB157" s="73"/>
      <c r="AC157" s="73"/>
      <c r="AD157" s="113"/>
      <c r="AE157" s="113"/>
      <c r="AF157" s="75"/>
      <c r="AG157" s="75"/>
      <c r="AH157" s="75">
        <v>90000000</v>
      </c>
      <c r="AI157" s="75"/>
      <c r="AJ157" s="78"/>
      <c r="AK157" s="75"/>
      <c r="AL157" s="78"/>
      <c r="AM157" s="76"/>
      <c r="AN157" s="75">
        <v>28800000</v>
      </c>
      <c r="AO157" s="76"/>
      <c r="AP157" s="73">
        <v>359.3</v>
      </c>
      <c r="AQ157" s="75"/>
      <c r="AR157" s="77"/>
      <c r="AS157" s="75"/>
      <c r="AT157" s="75"/>
      <c r="AU157" s="77"/>
      <c r="AV157" s="75">
        <v>22900000</v>
      </c>
      <c r="AW157" s="117"/>
      <c r="AX157" s="124">
        <v>429900000</v>
      </c>
      <c r="AY157" s="80"/>
      <c r="AZ157" s="124">
        <f>(417.6+419.5)/2*1000000</f>
        <v>418550000</v>
      </c>
      <c r="BA157" s="124"/>
      <c r="BB157" s="124"/>
      <c r="BC157"/>
    </row>
    <row r="158" spans="1:55" x14ac:dyDescent="0.25">
      <c r="A158" s="8" t="s">
        <v>309</v>
      </c>
      <c r="B158" s="8" t="s">
        <v>356</v>
      </c>
      <c r="C158" s="9" t="s">
        <v>357</v>
      </c>
      <c r="D158" s="73" t="s">
        <v>527</v>
      </c>
      <c r="E158" s="73" t="s">
        <v>110</v>
      </c>
      <c r="F158" s="73">
        <v>1.1998614888000001</v>
      </c>
      <c r="G158" s="109">
        <v>263753406</v>
      </c>
      <c r="H158" s="109"/>
      <c r="I158" s="75">
        <v>2300189</v>
      </c>
      <c r="J158" s="74">
        <f>4320000000-201300000</f>
        <v>4118700000</v>
      </c>
      <c r="K158" s="76">
        <f t="shared" si="26"/>
        <v>4941869513.9205608</v>
      </c>
      <c r="L158" s="75">
        <v>2852000000</v>
      </c>
      <c r="M158" s="76">
        <f>F158*L158</f>
        <v>3422004966.0576005</v>
      </c>
      <c r="N158" s="73"/>
      <c r="O158" s="77"/>
      <c r="P158" s="73"/>
      <c r="Q158" s="77">
        <f t="shared" si="22"/>
        <v>0</v>
      </c>
      <c r="R158" s="112">
        <f>J158-L158-238100000</f>
        <v>1028600000</v>
      </c>
      <c r="S158" s="76">
        <f>R158*F158</f>
        <v>1234177527.3796802</v>
      </c>
      <c r="T158" s="73"/>
      <c r="U158" s="75">
        <v>318046000</v>
      </c>
      <c r="V158" s="84">
        <f>U158*F158</f>
        <v>381611147.06688482</v>
      </c>
      <c r="W158" s="75">
        <v>106428000</v>
      </c>
      <c r="X158" s="75">
        <f>W158+U158</f>
        <v>424474000</v>
      </c>
      <c r="Y158" s="77">
        <f>X158*F158</f>
        <v>509310005.59689122</v>
      </c>
      <c r="Z158" s="75">
        <v>200690000</v>
      </c>
      <c r="AA158" s="77">
        <f>Z158*F158</f>
        <v>240800202.18727201</v>
      </c>
      <c r="AB158" s="75">
        <f>X158+Z158</f>
        <v>625164000</v>
      </c>
      <c r="AC158" s="77">
        <f>AB158*F158</f>
        <v>750110207.78416324</v>
      </c>
      <c r="AD158" s="75">
        <v>33171000</v>
      </c>
      <c r="AE158" s="77">
        <f>AD158*F158</f>
        <v>39800605.444984801</v>
      </c>
      <c r="AF158" s="75">
        <v>143797000</v>
      </c>
      <c r="AG158" s="76">
        <f>AF158*F158</f>
        <v>172536482.50497362</v>
      </c>
      <c r="AH158" s="75">
        <f>1885000000</f>
        <v>1885000000</v>
      </c>
      <c r="AI158" s="75"/>
      <c r="AJ158" s="111"/>
      <c r="AK158" s="73"/>
      <c r="AL158" s="111"/>
      <c r="AM158" s="76"/>
      <c r="AN158" s="75"/>
      <c r="AO158" s="76"/>
      <c r="AP158" s="73"/>
      <c r="AQ158" s="75">
        <f>2656000000-82000000</f>
        <v>2574000000</v>
      </c>
      <c r="AR158" s="77">
        <f>AQ158*F158</f>
        <v>3088443472.1712003</v>
      </c>
      <c r="AS158" s="73"/>
      <c r="AT158" s="75"/>
      <c r="AU158" s="77"/>
      <c r="AV158" s="78"/>
      <c r="AW158" s="79"/>
      <c r="AX158" s="124"/>
      <c r="AY158" s="80"/>
      <c r="AZ158" s="124"/>
      <c r="BA158" s="124"/>
      <c r="BB158" s="124"/>
      <c r="BC158"/>
    </row>
    <row r="159" spans="1:55" x14ac:dyDescent="0.25">
      <c r="C159" s="9" t="s">
        <v>543</v>
      </c>
      <c r="D159" s="73" t="s">
        <v>527</v>
      </c>
      <c r="E159" s="73" t="s">
        <v>110</v>
      </c>
      <c r="F159" s="73"/>
      <c r="G159" s="109"/>
      <c r="H159" s="109"/>
      <c r="I159" s="75"/>
      <c r="J159" s="74">
        <v>4320000000</v>
      </c>
      <c r="K159" s="76"/>
      <c r="L159" s="75"/>
      <c r="M159" s="76"/>
      <c r="N159" s="73"/>
      <c r="O159" s="77"/>
      <c r="P159" s="73"/>
      <c r="Q159" s="77"/>
      <c r="R159" s="112"/>
      <c r="S159" s="76"/>
      <c r="T159" s="73"/>
      <c r="U159" s="75"/>
      <c r="V159" s="84"/>
      <c r="W159" s="75"/>
      <c r="X159" s="75"/>
      <c r="Y159" s="77"/>
      <c r="Z159" s="75"/>
      <c r="AA159" s="77"/>
      <c r="AB159" s="75"/>
      <c r="AC159" s="77"/>
      <c r="AD159" s="75"/>
      <c r="AE159" s="77"/>
      <c r="AF159" s="75"/>
      <c r="AG159" s="76"/>
      <c r="AH159" s="75">
        <v>2470000000</v>
      </c>
      <c r="AI159" s="75"/>
      <c r="AJ159" s="111"/>
      <c r="AK159" s="73"/>
      <c r="AL159" s="78">
        <v>268990000</v>
      </c>
      <c r="AM159" s="76"/>
      <c r="AN159" s="75">
        <v>423725000</v>
      </c>
      <c r="AO159" s="76"/>
      <c r="AP159" s="75">
        <v>8436</v>
      </c>
      <c r="AQ159" s="75">
        <v>2656586000</v>
      </c>
      <c r="AR159" s="77"/>
      <c r="AS159" s="73"/>
      <c r="AT159" s="75"/>
      <c r="AU159" s="77"/>
      <c r="AV159" s="78">
        <v>1327900000</v>
      </c>
      <c r="AW159" s="79"/>
      <c r="AX159" s="124">
        <v>14899070000</v>
      </c>
      <c r="AY159" s="80"/>
      <c r="AZ159" s="124">
        <f>(15307432000+AX159)/2</f>
        <v>15103251000</v>
      </c>
      <c r="BA159" s="124">
        <v>1498492000</v>
      </c>
      <c r="BB159" s="124">
        <v>1947658000</v>
      </c>
      <c r="BC159"/>
    </row>
    <row r="160" spans="1:55" x14ac:dyDescent="0.25">
      <c r="A160" s="8" t="s">
        <v>309</v>
      </c>
      <c r="B160" s="8" t="s">
        <v>358</v>
      </c>
      <c r="C160" s="9" t="s">
        <v>536</v>
      </c>
      <c r="D160" s="73" t="s">
        <v>527</v>
      </c>
      <c r="E160" s="73" t="s">
        <v>110</v>
      </c>
      <c r="F160" s="73">
        <v>1.1998614888000001</v>
      </c>
      <c r="G160" s="109">
        <v>55325527</v>
      </c>
      <c r="H160" s="109"/>
      <c r="I160" s="75">
        <v>418541</v>
      </c>
      <c r="J160" s="74">
        <v>781627000</v>
      </c>
      <c r="K160" s="76">
        <f>71.4%*J160</f>
        <v>558081678.00000012</v>
      </c>
      <c r="L160" s="75">
        <f>71.4%*J160</f>
        <v>558081678.00000012</v>
      </c>
      <c r="M160" s="76"/>
      <c r="N160" s="73"/>
      <c r="O160" s="77"/>
      <c r="P160" s="73"/>
      <c r="Q160" s="77"/>
      <c r="R160" s="75">
        <f>28.6%*J160</f>
        <v>223545322.00000003</v>
      </c>
      <c r="S160" s="76"/>
      <c r="T160" s="73"/>
      <c r="U160" s="73"/>
      <c r="V160" s="73"/>
      <c r="W160" s="73"/>
      <c r="X160" s="73"/>
      <c r="Y160" s="73"/>
      <c r="Z160" s="73"/>
      <c r="AA160" s="73"/>
      <c r="AB160" s="75">
        <f>56.4%*R160</f>
        <v>126079561.60800001</v>
      </c>
      <c r="AC160" s="77"/>
      <c r="AD160" s="73"/>
      <c r="AE160" s="73"/>
      <c r="AF160" s="75">
        <f>13.4%*R160</f>
        <v>29955073.148000006</v>
      </c>
      <c r="AG160" s="73"/>
      <c r="AH160" s="112"/>
      <c r="AI160" s="112"/>
      <c r="AJ160" s="82"/>
      <c r="AK160" s="76"/>
      <c r="AL160" s="82"/>
      <c r="AM160" s="76"/>
      <c r="AN160" s="75">
        <v>79217000</v>
      </c>
      <c r="AO160" s="76"/>
      <c r="AP160" s="75">
        <v>1279</v>
      </c>
      <c r="AQ160" s="75">
        <v>553388000</v>
      </c>
      <c r="AR160" s="77"/>
      <c r="AS160" s="75"/>
      <c r="AT160" s="75">
        <v>463529000</v>
      </c>
      <c r="AU160" s="77"/>
      <c r="AV160" s="78">
        <v>282255000</v>
      </c>
      <c r="AW160" s="79"/>
      <c r="AX160" s="124">
        <v>2457858000</v>
      </c>
      <c r="AY160" s="80">
        <f>AX160*F160</f>
        <v>2949089159.1389904</v>
      </c>
      <c r="AZ160" s="124">
        <f xml:space="preserve"> (2457858+2588490)/2*1000</f>
        <v>2523174000</v>
      </c>
      <c r="BA160" s="124">
        <v>357000000</v>
      </c>
      <c r="BB160" s="124">
        <v>415007000</v>
      </c>
      <c r="BC160"/>
    </row>
    <row r="161" spans="1:55" x14ac:dyDescent="0.25">
      <c r="A161" s="8" t="s">
        <v>309</v>
      </c>
      <c r="B161" s="8" t="s">
        <v>359</v>
      </c>
      <c r="C161" s="18" t="s">
        <v>360</v>
      </c>
      <c r="D161" s="8" t="s">
        <v>83</v>
      </c>
      <c r="E161" s="8" t="s">
        <v>110</v>
      </c>
      <c r="F161" s="8">
        <v>1.1998614888000001</v>
      </c>
      <c r="G161" s="30">
        <v>3600000</v>
      </c>
      <c r="H161" s="30"/>
      <c r="I161" s="12"/>
      <c r="J161" s="10">
        <v>54557867</v>
      </c>
      <c r="K161" s="11">
        <f t="shared" si="26"/>
        <v>65461883.524372391</v>
      </c>
      <c r="M161" s="11"/>
      <c r="O161" s="13"/>
      <c r="Q161" s="13">
        <f t="shared" si="22"/>
        <v>0</v>
      </c>
      <c r="S161" s="11">
        <f>R161*F161</f>
        <v>0</v>
      </c>
      <c r="AJ161" s="26"/>
      <c r="AL161" s="26"/>
      <c r="AM161" s="11"/>
      <c r="AN161" s="12">
        <v>13068120</v>
      </c>
      <c r="AO161" s="11">
        <f>AN161*F161</f>
        <v>15679933.919017058</v>
      </c>
      <c r="AP161" s="8">
        <v>254</v>
      </c>
      <c r="AR161" s="13"/>
      <c r="AT161" s="12"/>
      <c r="AU161" s="13">
        <f>AT161*F161</f>
        <v>0</v>
      </c>
      <c r="AV161" s="15">
        <v>14574029</v>
      </c>
      <c r="AW161" s="16">
        <f>AV161*F161</f>
        <v>17486816.133754376</v>
      </c>
      <c r="AX161" s="119">
        <v>255446037</v>
      </c>
      <c r="AY161" s="17">
        <f>AX161*F161</f>
        <v>306499862.26287991</v>
      </c>
      <c r="AZ161" s="119">
        <f>(255446037.74+254575457.48)/2</f>
        <v>255010747.61000001</v>
      </c>
      <c r="BA161" s="119"/>
      <c r="BB161" s="119"/>
      <c r="BC161"/>
    </row>
    <row r="162" spans="1:55" x14ac:dyDescent="0.25">
      <c r="A162" s="8" t="s">
        <v>309</v>
      </c>
      <c r="B162" s="8" t="s">
        <v>361</v>
      </c>
      <c r="C162" s="9" t="s">
        <v>362</v>
      </c>
      <c r="D162" s="73" t="s">
        <v>527</v>
      </c>
      <c r="E162" s="73" t="s">
        <v>110</v>
      </c>
      <c r="F162" s="73">
        <v>1.1998614888000001</v>
      </c>
      <c r="G162" s="109">
        <v>79181000</v>
      </c>
      <c r="H162" s="109"/>
      <c r="I162" s="75">
        <v>553735000</v>
      </c>
      <c r="J162" s="74">
        <v>1509000000</v>
      </c>
      <c r="K162" s="76"/>
      <c r="L162" s="75"/>
      <c r="M162" s="76"/>
      <c r="N162" s="73"/>
      <c r="O162" s="77"/>
      <c r="P162" s="73"/>
      <c r="Q162" s="77"/>
      <c r="R162" s="112"/>
      <c r="S162" s="76"/>
      <c r="T162" s="75"/>
      <c r="U162" s="73"/>
      <c r="V162" s="73"/>
      <c r="W162" s="73"/>
      <c r="X162" s="73"/>
      <c r="Y162" s="73"/>
      <c r="Z162" s="73"/>
      <c r="AA162" s="73"/>
      <c r="AB162" s="73"/>
      <c r="AC162" s="73"/>
      <c r="AD162" s="73"/>
      <c r="AE162" s="73"/>
      <c r="AF162" s="73"/>
      <c r="AG162" s="73"/>
      <c r="AH162" s="75">
        <f>(981+"67")*1000000</f>
        <v>1048000000</v>
      </c>
      <c r="AI162" s="75"/>
      <c r="AJ162" s="78"/>
      <c r="AK162" s="76"/>
      <c r="AL162" s="78"/>
      <c r="AM162" s="76"/>
      <c r="AN162" s="75">
        <v>229000000</v>
      </c>
      <c r="AO162" s="76"/>
      <c r="AP162" s="75">
        <v>2324</v>
      </c>
      <c r="AQ162" s="75">
        <v>635000000</v>
      </c>
      <c r="AR162" s="77"/>
      <c r="AS162" s="75"/>
      <c r="AT162" s="75">
        <v>368000000</v>
      </c>
      <c r="AU162" s="77"/>
      <c r="AV162" s="78">
        <v>285000000</v>
      </c>
      <c r="AW162" s="79"/>
      <c r="AX162" s="124">
        <f>7354000000</f>
        <v>7354000000</v>
      </c>
      <c r="AY162" s="80">
        <f>AX162*F162</f>
        <v>8823781388.6352005</v>
      </c>
      <c r="AZ162" s="124">
        <f>(7354+6655)/2*1000000</f>
        <v>7004500000</v>
      </c>
      <c r="BA162" s="124">
        <v>656340000</v>
      </c>
      <c r="BB162" s="124">
        <v>526000000</v>
      </c>
      <c r="BC162"/>
    </row>
    <row r="163" spans="1:55" x14ac:dyDescent="0.25">
      <c r="C163" s="9" t="s">
        <v>537</v>
      </c>
      <c r="D163" s="73" t="s">
        <v>527</v>
      </c>
      <c r="E163" s="73" t="s">
        <v>110</v>
      </c>
      <c r="F163" s="73">
        <v>1.1998614888000001</v>
      </c>
      <c r="G163" s="109">
        <v>71100000</v>
      </c>
      <c r="H163" s="109"/>
      <c r="I163" s="75"/>
      <c r="J163" s="74"/>
      <c r="K163" s="76"/>
      <c r="L163" s="75">
        <f>873000000</f>
        <v>873000000</v>
      </c>
      <c r="M163" s="76"/>
      <c r="N163" s="73"/>
      <c r="O163" s="77"/>
      <c r="P163" s="73"/>
      <c r="Q163" s="77"/>
      <c r="R163" s="112">
        <f>338000000+182000000</f>
        <v>520000000</v>
      </c>
      <c r="S163" s="76"/>
      <c r="T163" s="75">
        <f>5.03*G163/2</f>
        <v>178816500</v>
      </c>
      <c r="U163" s="73"/>
      <c r="V163" s="73"/>
      <c r="W163" s="73"/>
      <c r="X163" s="73"/>
      <c r="Y163" s="73"/>
      <c r="Z163" s="73"/>
      <c r="AA163" s="73"/>
      <c r="AB163" s="73"/>
      <c r="AC163" s="73"/>
      <c r="AD163" s="73"/>
      <c r="AE163" s="73"/>
      <c r="AF163" s="75">
        <f>7.09*G163/2</f>
        <v>252049500</v>
      </c>
      <c r="AG163" s="73"/>
      <c r="AH163" s="75">
        <f>(720+98+96)*1000000</f>
        <v>914000000</v>
      </c>
      <c r="AI163" s="75"/>
      <c r="AJ163" s="78"/>
      <c r="AK163" s="76"/>
      <c r="AL163" s="78"/>
      <c r="AM163" s="76"/>
      <c r="AN163" s="75"/>
      <c r="AO163" s="76"/>
      <c r="AP163" s="75"/>
      <c r="AQ163" s="75">
        <f>(153+241+191)*1000000</f>
        <v>585000000</v>
      </c>
      <c r="AR163" s="77"/>
      <c r="AS163" s="75"/>
      <c r="AT163" s="75">
        <f>(-39+209+172)*1000000</f>
        <v>342000000</v>
      </c>
      <c r="AU163" s="77"/>
      <c r="AV163" s="78"/>
      <c r="AW163" s="79"/>
      <c r="AX163" s="124"/>
      <c r="AY163" s="80"/>
      <c r="AZ163" s="124"/>
      <c r="BA163" s="124"/>
      <c r="BB163" s="124"/>
      <c r="BC163"/>
    </row>
    <row r="164" spans="1:55" x14ac:dyDescent="0.25">
      <c r="A164" s="8" t="s">
        <v>309</v>
      </c>
      <c r="B164" s="8" t="s">
        <v>363</v>
      </c>
      <c r="C164" s="18" t="s">
        <v>364</v>
      </c>
      <c r="D164" s="8" t="s">
        <v>83</v>
      </c>
      <c r="E164" s="8" t="s">
        <v>110</v>
      </c>
      <c r="F164" s="8">
        <v>1.1998614888000001</v>
      </c>
      <c r="G164" s="10">
        <v>24783911</v>
      </c>
      <c r="H164" s="10"/>
      <c r="I164" s="12">
        <v>237888</v>
      </c>
      <c r="J164" s="10">
        <v>551604000</v>
      </c>
      <c r="K164" s="11">
        <f t="shared" si="26"/>
        <v>661848396.66803527</v>
      </c>
      <c r="M164" s="11"/>
      <c r="O164" s="13"/>
      <c r="Q164" s="13"/>
      <c r="R164" s="41"/>
      <c r="S164" s="11"/>
      <c r="AD164" s="12"/>
      <c r="AE164" s="12"/>
      <c r="AF164" s="12"/>
      <c r="AG164" s="12"/>
      <c r="AH164" s="12">
        <f>342965000-98363000+AS164</f>
        <v>342965000</v>
      </c>
      <c r="AI164" s="12"/>
      <c r="AJ164" s="26"/>
      <c r="AL164" s="26"/>
      <c r="AM164" s="11"/>
      <c r="AN164" s="12">
        <v>70113000</v>
      </c>
      <c r="AO164" s="11">
        <f>AN164*F164</f>
        <v>84125888.564234406</v>
      </c>
      <c r="AP164" s="8">
        <v>794</v>
      </c>
      <c r="AQ164" s="12">
        <f>AS164+AT164</f>
        <v>307002000</v>
      </c>
      <c r="AR164" s="13">
        <f>AQ164*F164</f>
        <v>368359876.78457761</v>
      </c>
      <c r="AS164" s="12">
        <v>98363000</v>
      </c>
      <c r="AT164" s="12">
        <f>J164-AH164</f>
        <v>208639000</v>
      </c>
      <c r="AU164" s="13">
        <f>AT164*F164</f>
        <v>250337901.16174322</v>
      </c>
      <c r="AV164" s="15">
        <v>103599000</v>
      </c>
      <c r="AW164" s="16">
        <f>AV164*F164</f>
        <v>124304450.3781912</v>
      </c>
      <c r="AX164" s="119">
        <v>2866875000</v>
      </c>
      <c r="AY164" s="17">
        <f>AX164*F164</f>
        <v>3439852905.7035003</v>
      </c>
      <c r="AZ164" s="119">
        <f>(2866875+2870701)/2*1000</f>
        <v>2868788000</v>
      </c>
      <c r="BA164" s="119">
        <v>184207000</v>
      </c>
      <c r="BB164" s="119"/>
      <c r="BC164"/>
    </row>
    <row r="165" spans="1:55" x14ac:dyDescent="0.25">
      <c r="A165" s="8" t="s">
        <v>309</v>
      </c>
      <c r="B165" s="8" t="s">
        <v>365</v>
      </c>
      <c r="C165" s="9" t="s">
        <v>366</v>
      </c>
      <c r="D165" s="73" t="s">
        <v>527</v>
      </c>
      <c r="E165" s="73" t="s">
        <v>110</v>
      </c>
      <c r="F165" s="73">
        <v>1.1998614888000001</v>
      </c>
      <c r="G165" s="109">
        <v>6800000</v>
      </c>
      <c r="H165" s="109"/>
      <c r="I165" s="75">
        <v>48737</v>
      </c>
      <c r="J165" s="74">
        <v>92200000</v>
      </c>
      <c r="K165" s="76"/>
      <c r="L165" s="75">
        <v>65500000</v>
      </c>
      <c r="M165" s="76"/>
      <c r="N165" s="73"/>
      <c r="O165" s="77"/>
      <c r="P165" s="73"/>
      <c r="Q165" s="77"/>
      <c r="R165" s="112">
        <v>26700000</v>
      </c>
      <c r="S165" s="76"/>
      <c r="T165" s="73"/>
      <c r="U165" s="73"/>
      <c r="V165" s="73"/>
      <c r="W165" s="73"/>
      <c r="X165" s="73"/>
      <c r="Y165" s="73"/>
      <c r="Z165" s="73"/>
      <c r="AA165" s="73"/>
      <c r="AB165" s="73"/>
      <c r="AC165" s="73"/>
      <c r="AD165" s="75"/>
      <c r="AE165" s="75"/>
      <c r="AF165" s="75">
        <v>2300000</v>
      </c>
      <c r="AG165" s="75"/>
      <c r="AH165" s="75">
        <f>9747167+28014126+7384403</f>
        <v>45145696</v>
      </c>
      <c r="AI165" s="75"/>
      <c r="AJ165" s="82"/>
      <c r="AK165" s="76"/>
      <c r="AL165" s="82"/>
      <c r="AM165" s="76"/>
      <c r="AN165" s="75">
        <v>9700000</v>
      </c>
      <c r="AO165" s="76"/>
      <c r="AP165" s="73">
        <v>340</v>
      </c>
      <c r="AQ165" s="75">
        <v>54000000</v>
      </c>
      <c r="AR165" s="77"/>
      <c r="AS165" s="75"/>
      <c r="AT165" s="75">
        <v>47000000</v>
      </c>
      <c r="AU165" s="77"/>
      <c r="AV165" s="78">
        <v>30300000</v>
      </c>
      <c r="AW165" s="79"/>
      <c r="AX165" s="124">
        <v>169811888</v>
      </c>
      <c r="AY165" s="80"/>
      <c r="AZ165" s="124">
        <f>(169811888+182850507)/2</f>
        <v>176331197.5</v>
      </c>
      <c r="BA165" s="124">
        <v>47915680</v>
      </c>
      <c r="BB165" s="124">
        <v>36800000</v>
      </c>
      <c r="BC165"/>
    </row>
    <row r="166" spans="1:55" x14ac:dyDescent="0.25">
      <c r="A166" s="8" t="s">
        <v>367</v>
      </c>
      <c r="B166" s="8" t="s">
        <v>368</v>
      </c>
      <c r="C166" s="9" t="s">
        <v>369</v>
      </c>
      <c r="D166" s="73" t="s">
        <v>83</v>
      </c>
      <c r="E166" s="73" t="s">
        <v>370</v>
      </c>
      <c r="F166" s="73">
        <v>0.16106548540000001</v>
      </c>
      <c r="G166" s="74">
        <v>30300000</v>
      </c>
      <c r="H166" s="74"/>
      <c r="I166" s="75"/>
      <c r="J166" s="74">
        <v>4444800000</v>
      </c>
      <c r="K166" s="76"/>
      <c r="L166" s="75">
        <v>2574800000</v>
      </c>
      <c r="M166" s="76"/>
      <c r="N166" s="75">
        <v>1191600000</v>
      </c>
      <c r="O166" s="77"/>
      <c r="P166" s="75">
        <f>(451+77)*1000000</f>
        <v>528000000</v>
      </c>
      <c r="Q166" s="77"/>
      <c r="R166" s="75">
        <v>1870000000</v>
      </c>
      <c r="S166" s="76"/>
      <c r="T166" s="75"/>
      <c r="U166" s="75"/>
      <c r="V166" s="75"/>
      <c r="W166" s="75"/>
      <c r="X166" s="75"/>
      <c r="Y166" s="75"/>
      <c r="Z166" s="75"/>
      <c r="AA166" s="75"/>
      <c r="AB166" s="75">
        <v>875300000</v>
      </c>
      <c r="AC166" s="77"/>
      <c r="AD166" s="75"/>
      <c r="AE166" s="75"/>
      <c r="AF166" s="75">
        <v>418500000</v>
      </c>
      <c r="AG166" s="76"/>
      <c r="AH166" s="75">
        <v>1900400000</v>
      </c>
      <c r="AI166" s="75"/>
      <c r="AJ166" s="82"/>
      <c r="AK166" s="76"/>
      <c r="AL166" s="82"/>
      <c r="AM166" s="76"/>
      <c r="AN166" s="75">
        <v>1350700000</v>
      </c>
      <c r="AO166" s="76"/>
      <c r="AP166" s="75">
        <v>2472</v>
      </c>
      <c r="AQ166" s="75">
        <v>2546000000</v>
      </c>
      <c r="AR166" s="77"/>
      <c r="AS166" s="75"/>
      <c r="AT166" s="75">
        <v>1584000000</v>
      </c>
      <c r="AU166" s="77"/>
      <c r="AV166" s="78">
        <v>1105000000</v>
      </c>
      <c r="AW166" s="79"/>
      <c r="AX166" s="124">
        <v>12968000000</v>
      </c>
      <c r="AY166" s="80">
        <f>AX166*F166</f>
        <v>2088697214.6672001</v>
      </c>
      <c r="AZ166" s="124">
        <f>(12968+11590)*1000000</f>
        <v>24558000000</v>
      </c>
      <c r="BA166" s="124">
        <v>2275400000</v>
      </c>
      <c r="BB166" s="124">
        <v>1980000000</v>
      </c>
      <c r="BC166"/>
    </row>
    <row r="167" spans="1:55" x14ac:dyDescent="0.25">
      <c r="A167" s="8" t="s">
        <v>367</v>
      </c>
      <c r="B167" s="8" t="s">
        <v>371</v>
      </c>
      <c r="C167" s="9" t="s">
        <v>372</v>
      </c>
      <c r="D167" s="8" t="s">
        <v>83</v>
      </c>
      <c r="E167" s="8" t="s">
        <v>373</v>
      </c>
      <c r="F167" s="8">
        <v>9.6599687000000004E-3</v>
      </c>
      <c r="G167" s="10">
        <v>9600000</v>
      </c>
      <c r="H167" s="10">
        <v>9600000</v>
      </c>
      <c r="I167" s="12">
        <v>196000</v>
      </c>
      <c r="J167" s="10">
        <v>37974000000</v>
      </c>
      <c r="K167" s="11">
        <f t="shared" si="26"/>
        <v>366827651.4138</v>
      </c>
      <c r="L167" s="12">
        <f>38.9%*J167</f>
        <v>14771886000</v>
      </c>
      <c r="M167" s="11">
        <f t="shared" ref="M167:M178" si="27">F167*L167</f>
        <v>142695956.39996821</v>
      </c>
      <c r="N167" s="12">
        <f>37.6%*L167</f>
        <v>5554229136</v>
      </c>
      <c r="O167" s="13">
        <f>N167*F167</f>
        <v>53653679.606388047</v>
      </c>
      <c r="P167" s="12">
        <f>20.5%*L167</f>
        <v>3028236630</v>
      </c>
      <c r="Q167" s="13">
        <f t="shared" ref="Q167:Q218" si="28">P167*F167</f>
        <v>29252671.061993483</v>
      </c>
      <c r="R167" s="12">
        <f>J167-L167</f>
        <v>23202114000</v>
      </c>
      <c r="S167" s="11">
        <f t="shared" ref="S167:S218" si="29">R167*F167</f>
        <v>224131695.01383179</v>
      </c>
      <c r="T167" s="12"/>
      <c r="U167" s="12">
        <v>12256870000</v>
      </c>
      <c r="V167" s="20">
        <f>U167*F167</f>
        <v>118400980.55996901</v>
      </c>
      <c r="W167" s="12"/>
      <c r="X167" s="12"/>
      <c r="Y167" s="12"/>
      <c r="Z167" s="12"/>
      <c r="AA167" s="12"/>
      <c r="AB167" s="12"/>
      <c r="AC167" s="12"/>
      <c r="AD167" s="12"/>
      <c r="AE167" s="12"/>
      <c r="AF167" s="12"/>
      <c r="AG167" s="12"/>
      <c r="AH167" s="12">
        <f>28121000000+AS167</f>
        <v>31451000000</v>
      </c>
      <c r="AI167" s="12"/>
      <c r="AJ167" s="14"/>
      <c r="AK167" s="11"/>
      <c r="AL167" s="14"/>
      <c r="AM167" s="11"/>
      <c r="AN167" s="12">
        <v>16741851000</v>
      </c>
      <c r="AO167" s="11">
        <f>AN167*F167</f>
        <v>161725756.6400637</v>
      </c>
      <c r="AP167" s="12">
        <v>1350</v>
      </c>
      <c r="AQ167" s="12">
        <v>9853000000</v>
      </c>
      <c r="AR167" s="13">
        <f>AQ167*F167</f>
        <v>95179671.601099998</v>
      </c>
      <c r="AS167" s="12">
        <f>AQ167-AT167</f>
        <v>3330000000</v>
      </c>
      <c r="AT167" s="12">
        <v>6523000000</v>
      </c>
      <c r="AU167" s="13">
        <f>AT167*F167</f>
        <v>63011975.8301</v>
      </c>
      <c r="AV167" s="15">
        <v>3949000000</v>
      </c>
      <c r="AW167" s="16">
        <f>AV167*F167</f>
        <v>38147216.396300003</v>
      </c>
      <c r="AX167" s="119">
        <v>72548000000</v>
      </c>
      <c r="AY167" s="66">
        <f>AX167*F167</f>
        <v>700811409.24760008</v>
      </c>
      <c r="AZ167" s="119">
        <f>(72548293+59229033)/2*1000</f>
        <v>65888663000</v>
      </c>
      <c r="BA167" s="119">
        <v>13971050000</v>
      </c>
      <c r="BB167" s="119">
        <v>3166000000</v>
      </c>
      <c r="BC167"/>
    </row>
    <row r="168" spans="1:55" x14ac:dyDescent="0.25">
      <c r="A168" s="8" t="s">
        <v>367</v>
      </c>
      <c r="B168" s="8" t="s">
        <v>374</v>
      </c>
      <c r="C168" s="9" t="s">
        <v>542</v>
      </c>
      <c r="D168" s="73" t="s">
        <v>527</v>
      </c>
      <c r="E168" s="73" t="s">
        <v>110</v>
      </c>
      <c r="F168" s="73">
        <v>1.1998614888000001</v>
      </c>
      <c r="G168" s="74">
        <v>25000000</v>
      </c>
      <c r="H168" s="74"/>
      <c r="I168" s="75"/>
      <c r="J168" s="74">
        <v>377300000</v>
      </c>
      <c r="K168" s="76"/>
      <c r="L168" s="75">
        <f>J168-R168</f>
        <v>198500000</v>
      </c>
      <c r="M168" s="76"/>
      <c r="N168" s="75"/>
      <c r="O168" s="77"/>
      <c r="P168" s="75"/>
      <c r="Q168" s="77"/>
      <c r="R168" s="75">
        <v>178800000</v>
      </c>
      <c r="S168" s="76"/>
      <c r="T168" s="75"/>
      <c r="U168" s="75"/>
      <c r="V168" s="75"/>
      <c r="W168" s="75"/>
      <c r="X168" s="75"/>
      <c r="Y168" s="75"/>
      <c r="Z168" s="75"/>
      <c r="AA168" s="75"/>
      <c r="AB168" s="75"/>
      <c r="AC168" s="75"/>
      <c r="AD168" s="75"/>
      <c r="AE168" s="75"/>
      <c r="AF168" s="75"/>
      <c r="AG168" s="75"/>
      <c r="AH168" s="75">
        <f>(108238+64382+73893)*1000</f>
        <v>246513000</v>
      </c>
      <c r="AI168" s="75"/>
      <c r="AJ168" s="82"/>
      <c r="AK168" s="76"/>
      <c r="AL168" s="82"/>
      <c r="AM168" s="76"/>
      <c r="AN168" s="75">
        <v>117579000</v>
      </c>
      <c r="AO168" s="76"/>
      <c r="AP168" s="75">
        <v>2132</v>
      </c>
      <c r="AQ168" s="75"/>
      <c r="AR168" s="77"/>
      <c r="AS168" s="75"/>
      <c r="AT168" s="75">
        <v>61400000</v>
      </c>
      <c r="AU168" s="77"/>
      <c r="AV168" s="78">
        <v>45300000</v>
      </c>
      <c r="AW168" s="79"/>
      <c r="AX168" s="124">
        <v>1133340000</v>
      </c>
      <c r="AY168" s="80">
        <f>AX168*F168</f>
        <v>1359851019.7165921</v>
      </c>
      <c r="AZ168" s="124">
        <f>(1093978000+968388000)/2</f>
        <v>1031183000</v>
      </c>
      <c r="BA168" s="124">
        <v>98323000</v>
      </c>
      <c r="BB168" s="124">
        <v>99300000</v>
      </c>
      <c r="BC168"/>
    </row>
    <row r="169" spans="1:55" x14ac:dyDescent="0.25">
      <c r="A169" s="8" t="s">
        <v>367</v>
      </c>
      <c r="B169" s="8" t="s">
        <v>375</v>
      </c>
      <c r="C169" s="9" t="s">
        <v>376</v>
      </c>
      <c r="D169" s="73" t="s">
        <v>527</v>
      </c>
      <c r="E169" s="73" t="s">
        <v>377</v>
      </c>
      <c r="F169" s="73">
        <v>0.12189751109999999</v>
      </c>
      <c r="G169" s="74">
        <v>54387000</v>
      </c>
      <c r="H169" s="74"/>
      <c r="I169" s="75">
        <v>690472</v>
      </c>
      <c r="J169" s="74">
        <v>11724000000</v>
      </c>
      <c r="K169" s="76">
        <f t="shared" si="26"/>
        <v>1429126420.1364</v>
      </c>
      <c r="L169" s="75">
        <v>5513000000</v>
      </c>
      <c r="M169" s="76">
        <f t="shared" si="27"/>
        <v>672020978.69429994</v>
      </c>
      <c r="N169" s="75">
        <v>1241000000</v>
      </c>
      <c r="O169" s="77">
        <f>N169*F169</f>
        <v>151274811.27509999</v>
      </c>
      <c r="P169" s="75">
        <v>1162000000</v>
      </c>
      <c r="Q169" s="77">
        <f t="shared" si="28"/>
        <v>141644907.89820001</v>
      </c>
      <c r="R169" s="75">
        <v>6211000000</v>
      </c>
      <c r="S169" s="76"/>
      <c r="T169" s="75"/>
      <c r="U169" s="75">
        <f>(2708.6+141)*1000000</f>
        <v>2849600000</v>
      </c>
      <c r="V169" s="84">
        <f>U169*F169</f>
        <v>347359147.63055998</v>
      </c>
      <c r="W169" s="75"/>
      <c r="X169" s="75"/>
      <c r="Y169" s="75"/>
      <c r="Z169" s="75"/>
      <c r="AA169" s="75"/>
      <c r="AB169" s="75"/>
      <c r="AC169" s="75"/>
      <c r="AD169" s="75"/>
      <c r="AE169" s="75"/>
      <c r="AF169" s="75">
        <f>(931.6+35.7)*1000000</f>
        <v>967300000.00000012</v>
      </c>
      <c r="AG169" s="76">
        <f>AF169*F169</f>
        <v>117911462.48703001</v>
      </c>
      <c r="AH169" s="75">
        <f>7523000000+2103400000</f>
        <v>9626400000</v>
      </c>
      <c r="AI169" s="75"/>
      <c r="AJ169" s="82"/>
      <c r="AK169" s="76"/>
      <c r="AL169" s="82">
        <f>400200000+745500000</f>
        <v>1145700000</v>
      </c>
      <c r="AM169" s="76">
        <f>AL169*F169</f>
        <v>139657978.46726999</v>
      </c>
      <c r="AN169" s="75">
        <v>3665800000</v>
      </c>
      <c r="AO169" s="76">
        <f>AN169*F169</f>
        <v>446851896.19037998</v>
      </c>
      <c r="AP169" s="75">
        <v>3099</v>
      </c>
      <c r="AQ169" s="75">
        <v>4200800000</v>
      </c>
      <c r="AR169" s="77">
        <f>AQ169*F169</f>
        <v>512067064.62887996</v>
      </c>
      <c r="AS169" s="75"/>
      <c r="AT169" s="75"/>
      <c r="AU169" s="77"/>
      <c r="AV169" s="78">
        <v>1169000000</v>
      </c>
      <c r="AW169" s="79">
        <f>AV169*F169</f>
        <v>142498190.47589999</v>
      </c>
      <c r="AX169" s="124">
        <v>43689800000</v>
      </c>
      <c r="AY169" s="80">
        <f>AX169*F169</f>
        <v>5325677880.4567795</v>
      </c>
      <c r="AZ169" s="124">
        <f>(43689.8+43935.5)/2*1000000</f>
        <v>43812650000</v>
      </c>
      <c r="BA169" s="124">
        <v>4132300000</v>
      </c>
      <c r="BB169" s="124">
        <v>4124300000</v>
      </c>
      <c r="BC169"/>
    </row>
    <row r="170" spans="1:55" x14ac:dyDescent="0.25">
      <c r="A170" s="8" t="s">
        <v>367</v>
      </c>
      <c r="B170" s="8" t="s">
        <v>378</v>
      </c>
      <c r="C170" s="9" t="s">
        <v>379</v>
      </c>
      <c r="D170" s="73" t="s">
        <v>527</v>
      </c>
      <c r="E170" s="73" t="s">
        <v>380</v>
      </c>
      <c r="F170" s="73">
        <v>0.1221962571</v>
      </c>
      <c r="G170" s="74">
        <v>42017000</v>
      </c>
      <c r="H170" s="74"/>
      <c r="I170" s="75"/>
      <c r="J170" s="74">
        <v>5922000000</v>
      </c>
      <c r="K170" s="76">
        <f t="shared" si="26"/>
        <v>723646234.54620004</v>
      </c>
      <c r="L170" s="75">
        <v>3696000000</v>
      </c>
      <c r="M170" s="76"/>
      <c r="N170" s="75">
        <v>1821000000</v>
      </c>
      <c r="O170" s="77"/>
      <c r="P170" s="75">
        <v>623000000</v>
      </c>
      <c r="Q170" s="77"/>
      <c r="R170" s="75">
        <v>2191000000</v>
      </c>
      <c r="S170" s="76"/>
      <c r="T170" s="75"/>
      <c r="U170" s="75"/>
      <c r="V170" s="75"/>
      <c r="W170" s="75"/>
      <c r="X170" s="75"/>
      <c r="Y170" s="75"/>
      <c r="Z170" s="75"/>
      <c r="AA170" s="75"/>
      <c r="AB170" s="75">
        <v>676000000</v>
      </c>
      <c r="AC170" s="77"/>
      <c r="AD170" s="75">
        <v>123000000</v>
      </c>
      <c r="AE170" s="77"/>
      <c r="AF170" s="75">
        <v>903000000</v>
      </c>
      <c r="AG170" s="76"/>
      <c r="AH170" s="75">
        <f>J170-AT170</f>
        <v>5240000000</v>
      </c>
      <c r="AI170" s="75"/>
      <c r="AJ170" s="82"/>
      <c r="AK170" s="76"/>
      <c r="AL170" s="82"/>
      <c r="AM170" s="76"/>
      <c r="AN170" s="75">
        <v>2083000000</v>
      </c>
      <c r="AO170" s="76">
        <f>AN170*F170</f>
        <v>254534803.53929999</v>
      </c>
      <c r="AP170" s="75">
        <v>3217</v>
      </c>
      <c r="AQ170" s="75"/>
      <c r="AR170" s="77"/>
      <c r="AS170" s="75"/>
      <c r="AT170" s="75">
        <v>682000000</v>
      </c>
      <c r="AU170" s="77"/>
      <c r="AV170" s="78">
        <v>517000000</v>
      </c>
      <c r="AW170" s="79"/>
      <c r="AX170" s="124">
        <v>19725000000</v>
      </c>
      <c r="AY170" s="80">
        <f>AX170*F170</f>
        <v>2410321171.2975001</v>
      </c>
      <c r="AZ170" s="124">
        <f>(19725+17587)/2*1000000</f>
        <v>18656000000</v>
      </c>
      <c r="BA170" s="124">
        <v>4059000000</v>
      </c>
      <c r="BB170" s="124">
        <v>1359000000</v>
      </c>
      <c r="BC170"/>
    </row>
    <row r="171" spans="1:55" x14ac:dyDescent="0.25">
      <c r="A171" s="8" t="s">
        <v>367</v>
      </c>
      <c r="B171" s="8" t="s">
        <v>381</v>
      </c>
      <c r="C171" s="18" t="s">
        <v>382</v>
      </c>
      <c r="D171" s="8" t="s">
        <v>83</v>
      </c>
      <c r="E171" s="8" t="s">
        <v>110</v>
      </c>
      <c r="F171" s="8">
        <v>1.1998614888000001</v>
      </c>
      <c r="G171" s="10">
        <v>6100000</v>
      </c>
      <c r="H171" s="10"/>
      <c r="I171" s="12">
        <v>75000</v>
      </c>
      <c r="J171" s="10">
        <v>54639000</v>
      </c>
      <c r="K171" s="11">
        <f t="shared" si="26"/>
        <v>65559231.886543207</v>
      </c>
      <c r="L171" s="12">
        <f>57.5%*J171</f>
        <v>31417424.999999996</v>
      </c>
      <c r="M171" s="11">
        <f t="shared" si="27"/>
        <v>37696558.334762342</v>
      </c>
      <c r="N171" s="12"/>
      <c r="O171" s="13"/>
      <c r="P171" s="12"/>
      <c r="Q171" s="13">
        <f t="shared" si="28"/>
        <v>0</v>
      </c>
      <c r="R171" s="12">
        <f>J171-L171</f>
        <v>23221575.000000004</v>
      </c>
      <c r="S171" s="11">
        <f t="shared" si="29"/>
        <v>27862673.551780868</v>
      </c>
      <c r="T171" s="12"/>
      <c r="U171" s="12"/>
      <c r="V171" s="12"/>
      <c r="W171" s="12"/>
      <c r="X171" s="12"/>
      <c r="Y171" s="12"/>
      <c r="Z171" s="12"/>
      <c r="AA171" s="12"/>
      <c r="AB171" s="12"/>
      <c r="AC171" s="12"/>
      <c r="AD171" s="12"/>
      <c r="AE171" s="12"/>
      <c r="AF171" s="12"/>
      <c r="AG171" s="12"/>
      <c r="AH171" s="12"/>
      <c r="AI171" s="12"/>
      <c r="AJ171" s="15"/>
      <c r="AK171" s="11"/>
      <c r="AL171" s="15"/>
      <c r="AM171" s="12"/>
      <c r="AN171" s="12"/>
      <c r="AO171" s="12"/>
      <c r="AP171" s="12"/>
      <c r="AR171" s="13"/>
      <c r="AV171" s="15">
        <v>358450</v>
      </c>
      <c r="AW171" s="16">
        <f>AV171*F171</f>
        <v>430090.35066036001</v>
      </c>
      <c r="AX171" s="119"/>
      <c r="AY171" s="17"/>
      <c r="AZ171" s="119"/>
      <c r="BA171" s="119"/>
      <c r="BB171" s="119"/>
      <c r="BC171"/>
    </row>
    <row r="172" spans="1:55" x14ac:dyDescent="0.25">
      <c r="A172" s="8" t="s">
        <v>367</v>
      </c>
      <c r="B172" s="8" t="s">
        <v>383</v>
      </c>
      <c r="C172" s="18" t="s">
        <v>384</v>
      </c>
      <c r="D172" s="8" t="s">
        <v>385</v>
      </c>
      <c r="E172" s="8" t="s">
        <v>110</v>
      </c>
      <c r="F172" s="8">
        <v>1.169062244</v>
      </c>
      <c r="G172" s="10">
        <v>2900000</v>
      </c>
      <c r="H172" s="10"/>
      <c r="I172" s="12"/>
      <c r="J172" s="10">
        <f>L172+R172</f>
        <v>20600000</v>
      </c>
      <c r="K172" s="11">
        <f t="shared" si="26"/>
        <v>24082682.226399999</v>
      </c>
      <c r="L172" s="12">
        <v>13600000</v>
      </c>
      <c r="M172" s="11">
        <f t="shared" si="27"/>
        <v>15899246.5184</v>
      </c>
      <c r="N172" s="12"/>
      <c r="O172" s="13"/>
      <c r="P172" s="12"/>
      <c r="Q172" s="13">
        <f t="shared" si="28"/>
        <v>0</v>
      </c>
      <c r="R172" s="12">
        <v>7000000</v>
      </c>
      <c r="S172" s="11">
        <f t="shared" si="29"/>
        <v>8183435.7080000006</v>
      </c>
      <c r="T172" s="12"/>
      <c r="U172" s="12"/>
      <c r="V172" s="12"/>
      <c r="W172" s="12"/>
      <c r="X172" s="12"/>
      <c r="Y172" s="12"/>
      <c r="Z172" s="12"/>
      <c r="AA172" s="12"/>
      <c r="AB172" s="12"/>
      <c r="AC172" s="12"/>
      <c r="AD172" s="12"/>
      <c r="AE172" s="12"/>
      <c r="AF172" s="12"/>
      <c r="AG172" s="12"/>
      <c r="AH172" s="12"/>
      <c r="AI172" s="12"/>
      <c r="AJ172" s="15"/>
      <c r="AK172" s="11"/>
      <c r="AL172" s="15"/>
      <c r="AM172" s="12"/>
      <c r="AN172" s="12"/>
      <c r="AO172" s="12"/>
      <c r="AP172" s="12"/>
      <c r="AR172" s="13"/>
      <c r="AV172" s="26"/>
      <c r="AW172" s="16"/>
      <c r="AX172" s="121"/>
      <c r="AY172" s="17"/>
      <c r="AZ172" s="119"/>
      <c r="BA172" s="119"/>
      <c r="BB172" s="119"/>
      <c r="BC172" t="s">
        <v>386</v>
      </c>
    </row>
    <row r="173" spans="1:55" x14ac:dyDescent="0.25">
      <c r="A173" s="8" t="s">
        <v>367</v>
      </c>
      <c r="B173" s="8" t="s">
        <v>387</v>
      </c>
      <c r="C173" s="9" t="s">
        <v>388</v>
      </c>
      <c r="D173" s="73" t="s">
        <v>527</v>
      </c>
      <c r="E173" s="73" t="s">
        <v>110</v>
      </c>
      <c r="F173" s="73">
        <v>1.1998614888000001</v>
      </c>
      <c r="G173" s="74">
        <f>(3007644+61894)</f>
        <v>3069538</v>
      </c>
      <c r="H173" s="74"/>
      <c r="I173" s="75">
        <f>(48568+10099)</f>
        <v>58667</v>
      </c>
      <c r="J173" s="74">
        <v>43800000</v>
      </c>
      <c r="K173" s="76"/>
      <c r="L173" s="75">
        <v>16152000</v>
      </c>
      <c r="M173" s="76"/>
      <c r="N173" s="75"/>
      <c r="O173" s="77"/>
      <c r="P173" s="75"/>
      <c r="Q173" s="77"/>
      <c r="R173" s="75">
        <v>27649000</v>
      </c>
      <c r="S173" s="76"/>
      <c r="T173" s="75"/>
      <c r="U173" s="75"/>
      <c r="V173" s="75"/>
      <c r="W173" s="75"/>
      <c r="X173" s="75"/>
      <c r="Y173" s="75"/>
      <c r="Z173" s="75"/>
      <c r="AA173" s="75"/>
      <c r="AB173" s="75">
        <v>4060000</v>
      </c>
      <c r="AC173" s="77"/>
      <c r="AD173" s="75"/>
      <c r="AE173" s="75"/>
      <c r="AF173" s="75"/>
      <c r="AG173" s="76"/>
      <c r="AH173" s="75">
        <v>42216000</v>
      </c>
      <c r="AI173" s="75"/>
      <c r="AJ173" s="82"/>
      <c r="AK173" s="76"/>
      <c r="AL173" s="82"/>
      <c r="AM173" s="76"/>
      <c r="AN173" s="75">
        <v>19031000</v>
      </c>
      <c r="AO173" s="76"/>
      <c r="AP173" s="75">
        <v>670</v>
      </c>
      <c r="AQ173" s="75">
        <v>15067000</v>
      </c>
      <c r="AR173" s="77"/>
      <c r="AS173" s="75">
        <v>11361000</v>
      </c>
      <c r="AT173" s="78"/>
      <c r="AU173" s="114"/>
      <c r="AV173" s="78">
        <v>7482000</v>
      </c>
      <c r="AW173" s="79"/>
      <c r="AX173" s="124">
        <v>189736000</v>
      </c>
      <c r="AY173" s="80">
        <f>AX173*F173</f>
        <v>227656919.43895683</v>
      </c>
      <c r="AZ173" s="124">
        <f>(189736+181412)/2*1000</f>
        <v>185574000</v>
      </c>
      <c r="BA173" s="124">
        <v>10780000</v>
      </c>
      <c r="BB173" s="124">
        <v>15450000</v>
      </c>
      <c r="BC173" t="s">
        <v>389</v>
      </c>
    </row>
    <row r="174" spans="1:55" x14ac:dyDescent="0.25">
      <c r="A174" s="8" t="s">
        <v>390</v>
      </c>
      <c r="B174" s="8" t="s">
        <v>391</v>
      </c>
      <c r="C174" s="9" t="s">
        <v>392</v>
      </c>
      <c r="D174" s="73" t="s">
        <v>199</v>
      </c>
      <c r="E174" s="73" t="s">
        <v>393</v>
      </c>
      <c r="F174" s="73">
        <v>0.76760491289999999</v>
      </c>
      <c r="G174" s="115">
        <v>23435252</v>
      </c>
      <c r="H174" s="109"/>
      <c r="I174" s="75"/>
      <c r="J174" s="74">
        <v>777000000</v>
      </c>
      <c r="K174" s="76"/>
      <c r="L174" s="75">
        <v>311000000</v>
      </c>
      <c r="M174" s="76"/>
      <c r="N174" s="73"/>
      <c r="O174" s="77"/>
      <c r="P174" s="73"/>
      <c r="Q174" s="77"/>
      <c r="R174" s="112">
        <f>J174-L174</f>
        <v>466000000</v>
      </c>
      <c r="S174" s="76"/>
      <c r="T174" s="73"/>
      <c r="U174" s="73"/>
      <c r="V174" s="73"/>
      <c r="W174" s="73"/>
      <c r="X174" s="73"/>
      <c r="Y174" s="73"/>
      <c r="Z174" s="73"/>
      <c r="AA174" s="73"/>
      <c r="AB174" s="75"/>
      <c r="AC174" s="77"/>
      <c r="AD174" s="73"/>
      <c r="AE174" s="73"/>
      <c r="AF174" s="75">
        <v>100000000</v>
      </c>
      <c r="AG174" s="76"/>
      <c r="AH174" s="75">
        <f>(776535-342667)*1000</f>
        <v>433868000</v>
      </c>
      <c r="AI174" s="75"/>
      <c r="AJ174" s="82">
        <v>43025000</v>
      </c>
      <c r="AK174" s="76"/>
      <c r="AL174" s="82">
        <v>46671000</v>
      </c>
      <c r="AM174" s="76"/>
      <c r="AN174" s="75">
        <v>43025000</v>
      </c>
      <c r="AO174" s="76"/>
      <c r="AP174" s="73">
        <v>350</v>
      </c>
      <c r="AQ174" s="75">
        <v>571700000</v>
      </c>
      <c r="AR174" s="77"/>
      <c r="AS174" s="75"/>
      <c r="AT174" s="75">
        <v>342667000</v>
      </c>
      <c r="AU174" s="77"/>
      <c r="AV174" s="78">
        <v>230146000</v>
      </c>
      <c r="AW174" s="79"/>
      <c r="AX174" s="124">
        <v>5909737000</v>
      </c>
      <c r="AY174" s="80">
        <f>AX174*F174</f>
        <v>4536343155.1469069</v>
      </c>
      <c r="AZ174" s="124">
        <f>(5909737+5552192)/2*1000</f>
        <v>5730964500</v>
      </c>
      <c r="BA174" s="124">
        <v>316791000</v>
      </c>
      <c r="BB174" s="124">
        <v>339751000</v>
      </c>
      <c r="BC174"/>
    </row>
    <row r="175" spans="1:55" x14ac:dyDescent="0.25">
      <c r="A175" s="8" t="s">
        <v>390</v>
      </c>
      <c r="B175" s="8" t="s">
        <v>391</v>
      </c>
      <c r="C175" s="9" t="s">
        <v>394</v>
      </c>
      <c r="D175" s="73" t="s">
        <v>199</v>
      </c>
      <c r="E175" s="73" t="s">
        <v>393</v>
      </c>
      <c r="F175" s="73">
        <v>0.74045602079999995</v>
      </c>
      <c r="G175" s="74">
        <v>8400000</v>
      </c>
      <c r="H175" s="74"/>
      <c r="I175" s="75"/>
      <c r="J175" s="74">
        <v>214305000</v>
      </c>
      <c r="K175" s="76">
        <f t="shared" si="26"/>
        <v>158683427.53754398</v>
      </c>
      <c r="L175" s="75">
        <v>107750000</v>
      </c>
      <c r="M175" s="76">
        <f t="shared" si="27"/>
        <v>79784136.2412</v>
      </c>
      <c r="N175" s="75"/>
      <c r="O175" s="77"/>
      <c r="P175" s="75"/>
      <c r="Q175" s="77">
        <f t="shared" si="28"/>
        <v>0</v>
      </c>
      <c r="R175" s="75">
        <f>J175-L175</f>
        <v>106555000</v>
      </c>
      <c r="S175" s="76">
        <f t="shared" si="29"/>
        <v>78899291.296343997</v>
      </c>
      <c r="T175" s="75"/>
      <c r="U175" s="75"/>
      <c r="V175" s="75"/>
      <c r="W175" s="75"/>
      <c r="X175" s="75"/>
      <c r="Y175" s="75"/>
      <c r="Z175" s="75"/>
      <c r="AA175" s="75"/>
      <c r="AB175" s="75"/>
      <c r="AC175" s="75"/>
      <c r="AD175" s="75"/>
      <c r="AE175" s="75"/>
      <c r="AF175" s="75"/>
      <c r="AG175" s="75"/>
      <c r="AH175" s="75">
        <f>(16950000+46080000+4508000+8657000+5425000+737000)+AS175</f>
        <v>108155000</v>
      </c>
      <c r="AI175" s="75"/>
      <c r="AJ175" s="82"/>
      <c r="AK175" s="76"/>
      <c r="AL175" s="82"/>
      <c r="AM175" s="76"/>
      <c r="AN175" s="75">
        <v>16950000</v>
      </c>
      <c r="AO175" s="76">
        <f>AN175*F175</f>
        <v>12550729.55256</v>
      </c>
      <c r="AP175" s="75"/>
      <c r="AQ175" s="75">
        <v>148613000</v>
      </c>
      <c r="AR175" s="77">
        <f>AQ175*F175</f>
        <v>110041390.61915039</v>
      </c>
      <c r="AS175" s="75">
        <f>24818000+980000</f>
        <v>25798000</v>
      </c>
      <c r="AT175" s="75">
        <f>AQ175-AS175</f>
        <v>122815000</v>
      </c>
      <c r="AU175" s="77">
        <f>AT175*F175</f>
        <v>90939106.194551989</v>
      </c>
      <c r="AV175" s="78">
        <v>44908000</v>
      </c>
      <c r="AW175" s="79">
        <f>AV175*F175</f>
        <v>33252398.982086398</v>
      </c>
      <c r="AX175" s="124">
        <v>1189457000</v>
      </c>
      <c r="AY175" s="80">
        <f>AX175*F175</f>
        <v>880740597.13270557</v>
      </c>
      <c r="AZ175" s="124">
        <f>(1189457+1180029)/2*1000</f>
        <v>1184743000</v>
      </c>
      <c r="BA175" s="124">
        <v>45293000</v>
      </c>
      <c r="BB175" s="124">
        <v>54309000</v>
      </c>
      <c r="BC175"/>
    </row>
    <row r="176" spans="1:55" x14ac:dyDescent="0.25">
      <c r="A176" s="8" t="s">
        <v>390</v>
      </c>
      <c r="B176" s="8" t="s">
        <v>391</v>
      </c>
      <c r="C176" s="9" t="s">
        <v>395</v>
      </c>
      <c r="D176" s="8" t="s">
        <v>199</v>
      </c>
      <c r="E176" s="8" t="s">
        <v>393</v>
      </c>
      <c r="F176" s="8">
        <v>0.74045602079999995</v>
      </c>
      <c r="G176" s="10">
        <v>1272634</v>
      </c>
      <c r="H176" s="10"/>
      <c r="I176" s="12"/>
      <c r="J176" s="10">
        <v>30250478</v>
      </c>
      <c r="K176" s="11">
        <f t="shared" si="26"/>
        <v>22399148.56717794</v>
      </c>
      <c r="L176" s="12">
        <f>85%*J176</f>
        <v>25712906.300000001</v>
      </c>
      <c r="M176" s="11">
        <f t="shared" si="27"/>
        <v>19039276.282101251</v>
      </c>
      <c r="N176" s="12"/>
      <c r="O176" s="13"/>
      <c r="P176" s="12"/>
      <c r="Q176" s="13">
        <f t="shared" si="28"/>
        <v>0</v>
      </c>
      <c r="R176" s="12">
        <f>J176-L176</f>
        <v>4537571.6999999993</v>
      </c>
      <c r="S176" s="11">
        <f t="shared" si="29"/>
        <v>3359872.2850766904</v>
      </c>
      <c r="T176" s="12"/>
      <c r="U176" s="12"/>
      <c r="V176" s="12"/>
      <c r="W176" s="12"/>
      <c r="X176" s="12"/>
      <c r="Y176" s="12"/>
      <c r="Z176" s="12"/>
      <c r="AA176" s="12"/>
      <c r="AB176" s="12"/>
      <c r="AC176" s="12"/>
      <c r="AD176" s="12"/>
      <c r="AE176" s="12"/>
      <c r="AF176" s="12"/>
      <c r="AG176" s="12"/>
      <c r="AH176" s="12"/>
      <c r="AI176" s="12"/>
      <c r="AJ176" s="14"/>
      <c r="AK176" s="11"/>
      <c r="AL176" s="14"/>
      <c r="AM176" s="11"/>
      <c r="AN176" s="12"/>
      <c r="AO176" s="11"/>
      <c r="AP176" s="12"/>
      <c r="AU176" s="13"/>
      <c r="AV176" s="26"/>
      <c r="AW176" s="16"/>
      <c r="AX176" s="121"/>
      <c r="AY176" s="17"/>
      <c r="AZ176" s="119"/>
      <c r="BA176" s="119"/>
      <c r="BB176" s="119"/>
      <c r="BC176"/>
    </row>
    <row r="177" spans="1:55" x14ac:dyDescent="0.25">
      <c r="A177" s="8" t="s">
        <v>390</v>
      </c>
      <c r="B177" s="8" t="s">
        <v>391</v>
      </c>
      <c r="C177" s="18" t="s">
        <v>396</v>
      </c>
      <c r="D177" s="73" t="s">
        <v>199</v>
      </c>
      <c r="E177" s="73" t="s">
        <v>393</v>
      </c>
      <c r="F177" s="73">
        <v>0.74045602079999995</v>
      </c>
      <c r="G177" s="74">
        <v>13700000</v>
      </c>
      <c r="H177" s="74"/>
      <c r="I177" s="75"/>
      <c r="J177" s="74">
        <v>523288000</v>
      </c>
      <c r="K177" s="76">
        <f t="shared" si="26"/>
        <v>387471750.21239036</v>
      </c>
      <c r="L177" s="75">
        <v>233929000</v>
      </c>
      <c r="M177" s="76">
        <f t="shared" si="27"/>
        <v>173214136.48972318</v>
      </c>
      <c r="N177" s="75"/>
      <c r="O177" s="77"/>
      <c r="P177" s="75"/>
      <c r="Q177" s="77">
        <f t="shared" si="28"/>
        <v>0</v>
      </c>
      <c r="R177" s="75">
        <f>J177-L177</f>
        <v>289359000</v>
      </c>
      <c r="S177" s="76">
        <f t="shared" si="29"/>
        <v>214257613.72266719</v>
      </c>
      <c r="T177" s="75"/>
      <c r="U177" s="75"/>
      <c r="V177" s="75"/>
      <c r="W177" s="75"/>
      <c r="X177" s="75"/>
      <c r="Y177" s="75"/>
      <c r="Z177" s="75"/>
      <c r="AA177" s="75"/>
      <c r="AB177" s="75"/>
      <c r="AC177" s="75"/>
      <c r="AD177" s="75"/>
      <c r="AE177" s="75"/>
      <c r="AF177" s="75"/>
      <c r="AG177" s="75"/>
      <c r="AH177" s="75">
        <f>169985000+AS177</f>
        <v>250447000</v>
      </c>
      <c r="AI177" s="75"/>
      <c r="AJ177" s="78"/>
      <c r="AK177" s="76"/>
      <c r="AL177" s="78">
        <v>9810000</v>
      </c>
      <c r="AM177" s="76">
        <f>AL177*F177</f>
        <v>7263873.5640479997</v>
      </c>
      <c r="AN177" s="75">
        <v>42640000</v>
      </c>
      <c r="AO177" s="76">
        <f>AN177*F177</f>
        <v>31573044.726911999</v>
      </c>
      <c r="AP177" s="75"/>
      <c r="AQ177" s="75">
        <v>353530000</v>
      </c>
      <c r="AR177" s="77">
        <f>AQ177*F176</f>
        <v>261773417.03342399</v>
      </c>
      <c r="AS177" s="75">
        <f>75297000+5165000</f>
        <v>80462000</v>
      </c>
      <c r="AT177" s="75">
        <f>AQ177-AS177</f>
        <v>273068000</v>
      </c>
      <c r="AU177" s="77">
        <f>AT177*F177</f>
        <v>202194844.68781438</v>
      </c>
      <c r="AV177" s="78" t="s">
        <v>0</v>
      </c>
      <c r="AW177" s="79"/>
      <c r="AX177" s="124">
        <v>3404339000</v>
      </c>
      <c r="AY177" s="80">
        <f>AX177*F177</f>
        <v>2520763309.3942509</v>
      </c>
      <c r="AZ177" s="124">
        <f>(3404339+3396384)/2*1000</f>
        <v>3400361500</v>
      </c>
      <c r="BA177" s="124">
        <v>239438000</v>
      </c>
      <c r="BB177" s="124">
        <v>298872000</v>
      </c>
      <c r="BC177"/>
    </row>
    <row r="178" spans="1:55" x14ac:dyDescent="0.25">
      <c r="A178" s="8" t="s">
        <v>390</v>
      </c>
      <c r="B178" s="8" t="s">
        <v>397</v>
      </c>
      <c r="C178" s="9" t="s">
        <v>538</v>
      </c>
      <c r="D178" s="73" t="s">
        <v>199</v>
      </c>
      <c r="E178" s="73" t="s">
        <v>393</v>
      </c>
      <c r="F178" s="73">
        <v>0.74045602079999995</v>
      </c>
      <c r="G178" s="74">
        <f>633000+2246000+4800</f>
        <v>2883800</v>
      </c>
      <c r="H178" s="74"/>
      <c r="I178" s="75"/>
      <c r="J178" s="74">
        <v>124220000</v>
      </c>
      <c r="K178" s="76">
        <f t="shared" si="26"/>
        <v>91979446.90377599</v>
      </c>
      <c r="L178" s="75">
        <v>69523000</v>
      </c>
      <c r="M178" s="76">
        <f t="shared" si="27"/>
        <v>51478723.934078395</v>
      </c>
      <c r="N178" s="75"/>
      <c r="O178" s="77"/>
      <c r="P178" s="75"/>
      <c r="Q178" s="77">
        <f t="shared" si="28"/>
        <v>0</v>
      </c>
      <c r="R178" s="75">
        <f>J178-L178</f>
        <v>54697000</v>
      </c>
      <c r="S178" s="76">
        <f t="shared" si="29"/>
        <v>40500722.969697595</v>
      </c>
      <c r="T178" s="75"/>
      <c r="U178" s="75"/>
      <c r="V178" s="75"/>
      <c r="W178" s="75"/>
      <c r="X178" s="75"/>
      <c r="Y178" s="75"/>
      <c r="Z178" s="75"/>
      <c r="AA178" s="75"/>
      <c r="AB178" s="75"/>
      <c r="AC178" s="75"/>
      <c r="AD178" s="75"/>
      <c r="AE178" s="75"/>
      <c r="AF178" s="75"/>
      <c r="AG178" s="75"/>
      <c r="AH178" s="75">
        <v>44026000</v>
      </c>
      <c r="AI178" s="75"/>
      <c r="AJ178" s="82"/>
      <c r="AK178" s="76"/>
      <c r="AL178" s="82"/>
      <c r="AM178" s="76"/>
      <c r="AN178" s="75"/>
      <c r="AO178" s="75"/>
      <c r="AP178" s="75">
        <v>83</v>
      </c>
      <c r="AQ178" s="75">
        <v>80094000</v>
      </c>
      <c r="AR178" s="77">
        <f>AQ178*F178</f>
        <v>59306084.529955193</v>
      </c>
      <c r="AS178" s="75">
        <f>38081000+64000+3072000</f>
        <v>41217000</v>
      </c>
      <c r="AT178" s="75">
        <f>AQ178-AS178</f>
        <v>38877000</v>
      </c>
      <c r="AU178" s="77">
        <f>AT178*F178</f>
        <v>28786708.720641598</v>
      </c>
      <c r="AV178" s="78">
        <v>19561000</v>
      </c>
      <c r="AW178" s="79">
        <f>AV178*F178</f>
        <v>14484060.222868798</v>
      </c>
      <c r="AX178" s="124">
        <v>863515000</v>
      </c>
      <c r="AY178" s="80">
        <f>AX178*F178</f>
        <v>639394880.80111194</v>
      </c>
      <c r="AZ178" s="124">
        <f>(AX178+866787000)/2</f>
        <v>865151000</v>
      </c>
      <c r="BA178" s="124"/>
      <c r="BB178" s="124">
        <v>41400000</v>
      </c>
      <c r="BC178"/>
    </row>
    <row r="179" spans="1:55" x14ac:dyDescent="0.25">
      <c r="A179" s="8" t="s">
        <v>390</v>
      </c>
      <c r="B179" s="8" t="s">
        <v>391</v>
      </c>
      <c r="C179" s="9" t="s">
        <v>398</v>
      </c>
      <c r="D179" s="8" t="s">
        <v>199</v>
      </c>
      <c r="E179" s="8" t="s">
        <v>393</v>
      </c>
      <c r="F179" s="8">
        <v>0.74045602079999995</v>
      </c>
      <c r="G179" s="10">
        <v>8496473</v>
      </c>
      <c r="H179" s="10"/>
      <c r="I179" s="12"/>
      <c r="J179" s="10">
        <v>136109000</v>
      </c>
      <c r="K179" s="11">
        <f t="shared" si="26"/>
        <v>100782728.53506719</v>
      </c>
      <c r="M179" s="11"/>
      <c r="N179" s="12"/>
      <c r="O179" s="13"/>
      <c r="P179" s="12"/>
      <c r="Q179" s="13">
        <f t="shared" si="28"/>
        <v>0</v>
      </c>
      <c r="R179" s="12"/>
      <c r="S179" s="11">
        <f t="shared" si="29"/>
        <v>0</v>
      </c>
      <c r="T179" s="12"/>
      <c r="U179" s="12"/>
      <c r="V179" s="12"/>
      <c r="W179" s="12"/>
      <c r="X179" s="12"/>
      <c r="Y179" s="12"/>
      <c r="Z179" s="12"/>
      <c r="AA179" s="12"/>
      <c r="AB179" s="12"/>
      <c r="AC179" s="12"/>
      <c r="AD179" s="12"/>
      <c r="AE179" s="12"/>
      <c r="AF179" s="12"/>
      <c r="AG179" s="12"/>
      <c r="AH179" s="12">
        <f>41188000+AS179</f>
        <v>74929000</v>
      </c>
      <c r="AI179" s="12"/>
      <c r="AJ179" s="14"/>
      <c r="AK179" s="11"/>
      <c r="AL179" s="14"/>
      <c r="AM179" s="11"/>
      <c r="AN179" s="12"/>
      <c r="AO179" s="12"/>
      <c r="AP179" s="12">
        <v>201</v>
      </c>
      <c r="AQ179" s="12">
        <v>94921000</v>
      </c>
      <c r="AR179" s="13">
        <f>AQ179*F179</f>
        <v>70284825.950356796</v>
      </c>
      <c r="AS179" s="12">
        <v>33741000</v>
      </c>
      <c r="AT179" s="12">
        <f>AQ179-AS179</f>
        <v>61180000</v>
      </c>
      <c r="AU179" s="13">
        <f>AT179*F179</f>
        <v>45301099.352543995</v>
      </c>
      <c r="AV179" s="15">
        <v>19449000</v>
      </c>
      <c r="AW179" s="16">
        <f>AV179*F179</f>
        <v>14401129.148539199</v>
      </c>
      <c r="AY179" s="17"/>
      <c r="AZ179" s="119"/>
      <c r="BA179" s="119"/>
      <c r="BB179" s="119"/>
      <c r="BC179"/>
    </row>
    <row r="180" spans="1:55" x14ac:dyDescent="0.25">
      <c r="A180" s="8" t="s">
        <v>390</v>
      </c>
      <c r="B180" s="8" t="s">
        <v>391</v>
      </c>
      <c r="C180" s="9" t="s">
        <v>399</v>
      </c>
      <c r="D180" s="73" t="s">
        <v>199</v>
      </c>
      <c r="E180" s="73" t="s">
        <v>393</v>
      </c>
      <c r="F180" s="73">
        <v>0.74045602079999995</v>
      </c>
      <c r="G180" s="74">
        <v>44400000</v>
      </c>
      <c r="H180" s="74"/>
      <c r="I180" s="75"/>
      <c r="J180" s="74">
        <v>344149000</v>
      </c>
      <c r="K180" s="76">
        <f t="shared" si="26"/>
        <v>254827199.10229918</v>
      </c>
      <c r="L180" s="75">
        <v>721700000</v>
      </c>
      <c r="M180" s="76"/>
      <c r="N180" s="75"/>
      <c r="O180" s="77"/>
      <c r="P180" s="75"/>
      <c r="Q180" s="77"/>
      <c r="R180" s="75"/>
      <c r="S180" s="76"/>
      <c r="T180" s="75"/>
      <c r="U180" s="75"/>
      <c r="V180" s="75"/>
      <c r="W180" s="75"/>
      <c r="X180" s="75"/>
      <c r="Y180" s="75"/>
      <c r="Z180" s="75"/>
      <c r="AA180" s="75"/>
      <c r="AB180" s="75"/>
      <c r="AC180" s="77"/>
      <c r="AD180" s="75"/>
      <c r="AE180" s="75"/>
      <c r="AF180" s="75">
        <v>136400000</v>
      </c>
      <c r="AG180" s="76"/>
      <c r="AH180" s="75">
        <v>302300000</v>
      </c>
      <c r="AI180" s="75"/>
      <c r="AJ180" s="82"/>
      <c r="AK180" s="76"/>
      <c r="AL180" s="82"/>
      <c r="AM180" s="76"/>
      <c r="AN180" s="75">
        <v>64600000</v>
      </c>
      <c r="AO180" s="76"/>
      <c r="AP180" s="75">
        <v>487</v>
      </c>
      <c r="AQ180" s="75">
        <v>1282600000</v>
      </c>
      <c r="AR180" s="77"/>
      <c r="AS180" s="75"/>
      <c r="AT180" s="75">
        <v>867000000</v>
      </c>
      <c r="AU180" s="77"/>
      <c r="AV180" s="78">
        <v>259500000</v>
      </c>
      <c r="AW180" s="79"/>
      <c r="AX180" s="124">
        <v>13054200000</v>
      </c>
      <c r="AY180" s="80">
        <f t="shared" ref="AY180:AY186" si="30">AX180*F180</f>
        <v>9666060986.7273598</v>
      </c>
      <c r="AZ180" s="124">
        <f>(13054.2+12232.1)/2*1000000</f>
        <v>12643150000.000002</v>
      </c>
      <c r="BA180" s="124">
        <v>795700000</v>
      </c>
      <c r="BB180" s="124">
        <v>1232500000</v>
      </c>
      <c r="BC180"/>
    </row>
    <row r="181" spans="1:55" x14ac:dyDescent="0.25">
      <c r="A181" s="8" t="s">
        <v>390</v>
      </c>
      <c r="B181" s="8" t="s">
        <v>391</v>
      </c>
      <c r="C181" s="9" t="s">
        <v>400</v>
      </c>
      <c r="D181" s="8" t="s">
        <v>199</v>
      </c>
      <c r="E181" s="8" t="s">
        <v>393</v>
      </c>
      <c r="F181" s="8">
        <v>0.74045602079999995</v>
      </c>
      <c r="G181" s="10">
        <v>38100000</v>
      </c>
      <c r="H181" s="10"/>
      <c r="I181" s="12"/>
      <c r="J181" s="10">
        <v>1011831000</v>
      </c>
      <c r="K181" s="11">
        <f t="shared" si="26"/>
        <v>749216355.98208475</v>
      </c>
      <c r="L181" s="12">
        <f>400167000+53601</f>
        <v>400220601</v>
      </c>
      <c r="M181" s="11">
        <f>F181*L181</f>
        <v>296345753.6586445</v>
      </c>
      <c r="N181" s="12"/>
      <c r="O181" s="13"/>
      <c r="P181" s="12"/>
      <c r="Q181" s="13">
        <f t="shared" si="28"/>
        <v>0</v>
      </c>
      <c r="R181" s="12">
        <f>J181-L181</f>
        <v>611610399</v>
      </c>
      <c r="S181" s="11">
        <f t="shared" si="29"/>
        <v>452870602.32344025</v>
      </c>
      <c r="T181" s="12"/>
      <c r="U181" s="12"/>
      <c r="V181" s="12"/>
      <c r="W181" s="12"/>
      <c r="X181" s="12"/>
      <c r="Y181" s="12"/>
      <c r="Z181" s="12"/>
      <c r="AA181" s="12"/>
      <c r="AB181" s="12">
        <v>186697000</v>
      </c>
      <c r="AC181" s="13">
        <f>AB181*F181</f>
        <v>138240917.71529758</v>
      </c>
      <c r="AD181" s="12"/>
      <c r="AE181" s="12"/>
      <c r="AF181" s="12">
        <f>211940000</f>
        <v>211940000</v>
      </c>
      <c r="AG181" s="11">
        <f>AF181*F181</f>
        <v>156932249.048352</v>
      </c>
      <c r="AH181" s="12">
        <f>277206000+AS181</f>
        <v>451162000</v>
      </c>
      <c r="AI181" s="12"/>
      <c r="AJ181" s="14"/>
      <c r="AK181" s="11"/>
      <c r="AL181" s="14">
        <v>36196000</v>
      </c>
      <c r="AM181" s="11">
        <f>AL181*F181</f>
        <v>26801546.128876798</v>
      </c>
      <c r="AN181" s="12">
        <v>53787000</v>
      </c>
      <c r="AO181" s="11">
        <f>AN181*F181</f>
        <v>39826907.990769595</v>
      </c>
      <c r="AP181" s="12"/>
      <c r="AQ181" s="12">
        <f>AS181+AT181</f>
        <v>734625000</v>
      </c>
      <c r="AR181" s="13">
        <f>AQ181*F181</f>
        <v>543957504.2802</v>
      </c>
      <c r="AS181" s="12">
        <v>173956000</v>
      </c>
      <c r="AT181" s="12">
        <f>J181-AH181</f>
        <v>560669000</v>
      </c>
      <c r="AU181" s="13">
        <f>AT181*F181</f>
        <v>415150736.72591519</v>
      </c>
      <c r="AV181" s="15">
        <v>314855000</v>
      </c>
      <c r="AW181" s="32">
        <f>AV181*F181</f>
        <v>233136280.42898399</v>
      </c>
      <c r="AX181" s="119">
        <v>5518891000</v>
      </c>
      <c r="AY181" s="17">
        <f t="shared" si="30"/>
        <v>4086496069.0889325</v>
      </c>
      <c r="AZ181" s="119">
        <f>(5518891+5219589)/2*1000</f>
        <v>5369240000</v>
      </c>
      <c r="BA181" s="119">
        <v>156384000</v>
      </c>
      <c r="BB181" s="119">
        <v>385186000</v>
      </c>
      <c r="BC181"/>
    </row>
    <row r="182" spans="1:55" x14ac:dyDescent="0.25">
      <c r="A182" s="8" t="s">
        <v>390</v>
      </c>
      <c r="B182" s="8" t="s">
        <v>401</v>
      </c>
      <c r="C182" s="18" t="s">
        <v>402</v>
      </c>
      <c r="D182" s="73" t="s">
        <v>199</v>
      </c>
      <c r="E182" s="73" t="s">
        <v>403</v>
      </c>
      <c r="F182" s="73">
        <v>0.73211619679999995</v>
      </c>
      <c r="G182" s="74"/>
      <c r="H182" s="74"/>
      <c r="I182" s="75"/>
      <c r="J182" s="74">
        <v>236577000</v>
      </c>
      <c r="K182" s="76">
        <f t="shared" si="26"/>
        <v>173201853.49035358</v>
      </c>
      <c r="L182" s="75">
        <v>81288000</v>
      </c>
      <c r="M182" s="76"/>
      <c r="N182" s="75"/>
      <c r="O182" s="77"/>
      <c r="P182" s="75"/>
      <c r="Q182" s="77"/>
      <c r="R182" s="75">
        <f>(68173+26102)*1000</f>
        <v>94275000</v>
      </c>
      <c r="S182" s="76">
        <f t="shared" si="29"/>
        <v>69020254.453319997</v>
      </c>
      <c r="T182" s="75"/>
      <c r="U182" s="75"/>
      <c r="V182" s="75"/>
      <c r="W182" s="75"/>
      <c r="X182" s="75"/>
      <c r="Y182" s="75"/>
      <c r="Z182" s="75"/>
      <c r="AA182" s="75"/>
      <c r="AB182" s="75"/>
      <c r="AC182" s="77"/>
      <c r="AD182" s="75"/>
      <c r="AE182" s="75"/>
      <c r="AF182" s="75"/>
      <c r="AG182" s="75"/>
      <c r="AH182" s="73">
        <v>125729000</v>
      </c>
      <c r="AI182" s="73"/>
      <c r="AJ182" s="111"/>
      <c r="AK182" s="73"/>
      <c r="AL182" s="111"/>
      <c r="AM182" s="76"/>
      <c r="AN182" s="75">
        <v>25631000</v>
      </c>
      <c r="AO182" s="73"/>
      <c r="AP182" s="73">
        <v>250</v>
      </c>
      <c r="AQ182" s="73"/>
      <c r="AR182" s="77"/>
      <c r="AS182" s="73"/>
      <c r="AT182" s="73"/>
      <c r="AU182" s="73"/>
      <c r="AV182" s="78">
        <v>235638000</v>
      </c>
      <c r="AW182" s="79"/>
      <c r="AX182" s="124">
        <v>1614302000</v>
      </c>
      <c r="AY182" s="80">
        <f t="shared" si="30"/>
        <v>1181856640.7266335</v>
      </c>
      <c r="AZ182" s="124">
        <f>(AX182+1347047000)/2</f>
        <v>1480674500</v>
      </c>
      <c r="BA182" s="124">
        <v>28583000</v>
      </c>
      <c r="BB182" s="124">
        <v>80975000</v>
      </c>
    </row>
    <row r="183" spans="1:55" x14ac:dyDescent="0.25">
      <c r="A183" s="8" t="s">
        <v>390</v>
      </c>
      <c r="B183" s="8" t="s">
        <v>401</v>
      </c>
      <c r="C183" s="9" t="s">
        <v>404</v>
      </c>
      <c r="D183" s="8" t="s">
        <v>135</v>
      </c>
      <c r="E183" s="8" t="s">
        <v>403</v>
      </c>
      <c r="F183" s="8">
        <v>0.72430583240000002</v>
      </c>
      <c r="G183" s="10">
        <v>6144686</v>
      </c>
      <c r="H183" s="10"/>
      <c r="I183" s="12">
        <v>83800</v>
      </c>
      <c r="J183" s="10">
        <v>128637000</v>
      </c>
      <c r="K183" s="11">
        <f t="shared" si="26"/>
        <v>93172529.362438798</v>
      </c>
      <c r="L183" s="12">
        <v>76154000</v>
      </c>
      <c r="M183" s="11">
        <f t="shared" ref="M183:M199" si="31">F183*L183</f>
        <v>55158786.360589601</v>
      </c>
      <c r="N183" s="12"/>
      <c r="O183" s="13"/>
      <c r="P183" s="12"/>
      <c r="Q183" s="13">
        <f t="shared" si="28"/>
        <v>0</v>
      </c>
      <c r="R183" s="12">
        <f>J183-L183</f>
        <v>52483000</v>
      </c>
      <c r="S183" s="11">
        <f t="shared" si="29"/>
        <v>38013743.001849204</v>
      </c>
      <c r="T183" s="12"/>
      <c r="U183" s="12"/>
      <c r="V183" s="12"/>
      <c r="W183" s="12"/>
      <c r="X183" s="12"/>
      <c r="Y183" s="12"/>
      <c r="Z183" s="12"/>
      <c r="AA183" s="12"/>
      <c r="AB183" s="12"/>
      <c r="AC183" s="13"/>
      <c r="AD183" s="12"/>
      <c r="AE183" s="12"/>
      <c r="AF183" s="12"/>
      <c r="AG183" s="12"/>
      <c r="AH183" s="12">
        <f>22525000+AS183+10697000</f>
        <v>56809000</v>
      </c>
      <c r="AI183" s="12"/>
      <c r="AJ183" s="14"/>
      <c r="AK183" s="11"/>
      <c r="AL183" s="14"/>
      <c r="AM183" s="11"/>
      <c r="AN183" s="12">
        <v>10697000</v>
      </c>
      <c r="AO183" s="11">
        <f t="shared" ref="AO183:AO193" si="32">AN183*F183</f>
        <v>7747899.4891828001</v>
      </c>
      <c r="AP183" s="12"/>
      <c r="AQ183" s="12">
        <f>AS183+AT183</f>
        <v>203355000</v>
      </c>
      <c r="AR183" s="13">
        <f>AQ183*F183</f>
        <v>147291212.54770201</v>
      </c>
      <c r="AS183" s="12">
        <v>23587000</v>
      </c>
      <c r="AT183" s="12">
        <f>J182-AH183</f>
        <v>179768000</v>
      </c>
      <c r="AU183" s="13">
        <f>AT183*F183</f>
        <v>130207010.8788832</v>
      </c>
      <c r="AV183" s="15">
        <v>24681000</v>
      </c>
      <c r="AW183" s="16">
        <f t="shared" ref="AW183:AW188" si="33">AV183*F183</f>
        <v>17876592.2494644</v>
      </c>
      <c r="AX183" s="119">
        <v>1187031000</v>
      </c>
      <c r="AY183" s="17">
        <f t="shared" si="30"/>
        <v>859773476.53960443</v>
      </c>
      <c r="AZ183" s="119">
        <f>(1187031+1085687)/2*1000</f>
        <v>1136359000</v>
      </c>
      <c r="BA183" s="119">
        <v>40919000</v>
      </c>
      <c r="BB183" s="119">
        <v>41284000</v>
      </c>
    </row>
    <row r="184" spans="1:55" x14ac:dyDescent="0.25">
      <c r="A184" s="8" t="s">
        <v>390</v>
      </c>
      <c r="B184" s="8" t="s">
        <v>401</v>
      </c>
      <c r="C184" s="9" t="s">
        <v>405</v>
      </c>
      <c r="D184" s="8" t="s">
        <v>199</v>
      </c>
      <c r="E184" s="8" t="s">
        <v>403</v>
      </c>
      <c r="F184" s="8">
        <v>0.67665657820000003</v>
      </c>
      <c r="G184" s="10">
        <v>353000</v>
      </c>
      <c r="H184" s="10"/>
      <c r="I184" s="12"/>
      <c r="J184" s="10">
        <f>8594000</f>
        <v>8594000</v>
      </c>
      <c r="K184" s="11">
        <f t="shared" si="26"/>
        <v>5815186.6330508003</v>
      </c>
      <c r="L184" s="12">
        <v>2595000</v>
      </c>
      <c r="M184" s="11">
        <f t="shared" si="31"/>
        <v>1755923.8204290001</v>
      </c>
      <c r="N184" s="12"/>
      <c r="O184" s="13"/>
      <c r="P184" s="12"/>
      <c r="Q184" s="13">
        <f t="shared" si="28"/>
        <v>0</v>
      </c>
      <c r="R184" s="12"/>
      <c r="S184" s="11">
        <f t="shared" si="29"/>
        <v>0</v>
      </c>
      <c r="T184" s="12"/>
      <c r="U184" s="12"/>
      <c r="V184" s="12"/>
      <c r="W184" s="12"/>
      <c r="X184" s="12"/>
      <c r="Y184" s="12"/>
      <c r="Z184" s="12"/>
      <c r="AA184" s="12"/>
      <c r="AB184" s="12"/>
      <c r="AC184" s="13"/>
      <c r="AD184" s="12"/>
      <c r="AE184" s="12"/>
      <c r="AF184" s="12"/>
      <c r="AG184" s="12"/>
      <c r="AH184" s="12">
        <f>5719000+AS184</f>
        <v>8157000</v>
      </c>
      <c r="AI184" s="12"/>
      <c r="AJ184" s="14"/>
      <c r="AK184" s="11"/>
      <c r="AL184" s="14"/>
      <c r="AM184" s="11"/>
      <c r="AN184" s="12">
        <v>2265000</v>
      </c>
      <c r="AO184" s="11">
        <f t="shared" si="32"/>
        <v>1532627.1496230001</v>
      </c>
      <c r="AP184" s="12"/>
      <c r="AQ184" s="12">
        <v>3835000</v>
      </c>
      <c r="AR184" s="13">
        <f>AQ184*F184</f>
        <v>2594977.977397</v>
      </c>
      <c r="AS184" s="12">
        <f>2438000</f>
        <v>2438000</v>
      </c>
      <c r="AT184" s="12">
        <f>J184-AH184</f>
        <v>437000</v>
      </c>
      <c r="AU184" s="13">
        <f>AT184*F184</f>
        <v>295698.9246734</v>
      </c>
      <c r="AV184" s="15">
        <v>2380000</v>
      </c>
      <c r="AW184" s="16">
        <f t="shared" si="33"/>
        <v>1610442.6561160001</v>
      </c>
      <c r="AX184" s="119">
        <v>107717000</v>
      </c>
      <c r="AY184" s="17">
        <f t="shared" si="30"/>
        <v>72887416.633969396</v>
      </c>
      <c r="AZ184" s="119">
        <f>(107717+103666)/2*1000</f>
        <v>105691500</v>
      </c>
      <c r="BA184" s="119">
        <v>2356000</v>
      </c>
      <c r="BB184" s="119">
        <v>2760000</v>
      </c>
      <c r="BC184" s="37" t="s">
        <v>406</v>
      </c>
    </row>
    <row r="185" spans="1:55" x14ac:dyDescent="0.25">
      <c r="A185" s="8" t="s">
        <v>390</v>
      </c>
      <c r="B185" s="8" t="s">
        <v>401</v>
      </c>
      <c r="C185" s="9" t="s">
        <v>407</v>
      </c>
      <c r="D185" s="8" t="s">
        <v>199</v>
      </c>
      <c r="E185" s="8" t="s">
        <v>403</v>
      </c>
      <c r="F185" s="8">
        <v>0.67665657820000003</v>
      </c>
      <c r="G185" s="10">
        <f>10202526+1063856+9263666</f>
        <v>20530048</v>
      </c>
      <c r="H185" s="10"/>
      <c r="I185" s="12"/>
      <c r="J185" s="10">
        <v>683900000</v>
      </c>
      <c r="K185" s="11">
        <f t="shared" si="26"/>
        <v>462765433.83098</v>
      </c>
      <c r="L185" s="12">
        <f>122100000+179100000</f>
        <v>301200000</v>
      </c>
      <c r="M185" s="11">
        <f t="shared" si="31"/>
        <v>203808961.35383999</v>
      </c>
      <c r="N185" s="12">
        <v>179100000</v>
      </c>
      <c r="O185" s="13">
        <f>N185*F185</f>
        <v>121189193.15562001</v>
      </c>
      <c r="P185" s="12">
        <f>116800000+5300000</f>
        <v>122100000</v>
      </c>
      <c r="Q185" s="13">
        <f t="shared" si="28"/>
        <v>82619768.19822</v>
      </c>
      <c r="R185" s="12">
        <f>J185-L185</f>
        <v>382700000</v>
      </c>
      <c r="S185" s="11">
        <f t="shared" si="29"/>
        <v>258956472.47714001</v>
      </c>
      <c r="U185" s="12"/>
      <c r="V185" s="12"/>
      <c r="W185" s="12"/>
      <c r="X185" s="12"/>
      <c r="Y185" s="12"/>
      <c r="Z185" s="12"/>
      <c r="AA185" s="12"/>
      <c r="AB185" s="12">
        <v>190600000</v>
      </c>
      <c r="AC185" s="13" t="s">
        <v>0</v>
      </c>
      <c r="AD185" s="12"/>
      <c r="AE185" s="12"/>
      <c r="AF185" s="12">
        <v>61000000</v>
      </c>
      <c r="AG185" s="11">
        <f>AF185*F185</f>
        <v>41276051.270199999</v>
      </c>
      <c r="AH185" s="12">
        <f>177500000+AS185</f>
        <v>266400000</v>
      </c>
      <c r="AI185" s="12"/>
      <c r="AJ185" s="14"/>
      <c r="AK185" s="11"/>
      <c r="AL185" s="14"/>
      <c r="AM185" s="11"/>
      <c r="AN185" s="12">
        <v>57900000</v>
      </c>
      <c r="AO185" s="11">
        <f t="shared" si="32"/>
        <v>39178415.877779998</v>
      </c>
      <c r="AP185" s="12">
        <f>305+193</f>
        <v>498</v>
      </c>
      <c r="AQ185" s="12">
        <v>506400000</v>
      </c>
      <c r="AR185" s="13">
        <f>AQ185*F185</f>
        <v>342658891.20047998</v>
      </c>
      <c r="AS185" s="12">
        <v>88900000</v>
      </c>
      <c r="AT185" s="12">
        <f>AQ185-AS185</f>
        <v>417500000</v>
      </c>
      <c r="AU185" s="13">
        <f>AT185*F185</f>
        <v>282504121.39850003</v>
      </c>
      <c r="AV185" s="15">
        <v>650100000</v>
      </c>
      <c r="AW185" s="16">
        <f t="shared" si="33"/>
        <v>439894441.48782003</v>
      </c>
      <c r="AX185" s="119">
        <v>8196600000</v>
      </c>
      <c r="AY185" s="17">
        <f t="shared" si="30"/>
        <v>5546283308.8741198</v>
      </c>
      <c r="AZ185" s="119">
        <f>(8196.8+6503.3)/2*1000000</f>
        <v>7350049999.999999</v>
      </c>
      <c r="BA185" s="119">
        <v>329100000</v>
      </c>
      <c r="BB185" s="119">
        <v>321200000</v>
      </c>
    </row>
    <row r="186" spans="1:55" x14ac:dyDescent="0.25">
      <c r="A186" s="8" t="s">
        <v>390</v>
      </c>
      <c r="B186" s="8" t="s">
        <v>401</v>
      </c>
      <c r="C186" s="18" t="s">
        <v>408</v>
      </c>
      <c r="D186" s="73" t="s">
        <v>199</v>
      </c>
      <c r="E186" s="73" t="s">
        <v>403</v>
      </c>
      <c r="F186" s="73">
        <v>0.73211619679999995</v>
      </c>
      <c r="G186" s="74">
        <v>1030512</v>
      </c>
      <c r="H186" s="74"/>
      <c r="I186" s="75"/>
      <c r="J186" s="74">
        <v>16522000</v>
      </c>
      <c r="K186" s="76">
        <f t="shared" si="26"/>
        <v>12096023.8035296</v>
      </c>
      <c r="L186" s="75">
        <v>7300000</v>
      </c>
      <c r="M186" s="76"/>
      <c r="N186" s="75"/>
      <c r="O186" s="77"/>
      <c r="P186" s="75"/>
      <c r="Q186" s="77"/>
      <c r="R186" s="75">
        <v>9300000</v>
      </c>
      <c r="S186" s="76"/>
      <c r="T186" s="75"/>
      <c r="U186" s="75"/>
      <c r="V186" s="75"/>
      <c r="W186" s="75"/>
      <c r="X186" s="75"/>
      <c r="Y186" s="75"/>
      <c r="Z186" s="75"/>
      <c r="AA186" s="75"/>
      <c r="AB186" s="75"/>
      <c r="AC186" s="75"/>
      <c r="AD186" s="75"/>
      <c r="AE186" s="75"/>
      <c r="AF186" s="75"/>
      <c r="AG186" s="75"/>
      <c r="AH186" s="75">
        <v>11761000</v>
      </c>
      <c r="AI186" s="75"/>
      <c r="AJ186" s="111"/>
      <c r="AK186" s="73"/>
      <c r="AL186" s="111"/>
      <c r="AM186" s="73"/>
      <c r="AN186" s="75">
        <v>2264000</v>
      </c>
      <c r="AO186" s="76">
        <f t="shared" si="32"/>
        <v>1657511.0695551999</v>
      </c>
      <c r="AP186" s="75"/>
      <c r="AQ186" s="75"/>
      <c r="AR186" s="77"/>
      <c r="AS186" s="75"/>
      <c r="AT186" s="75"/>
      <c r="AU186" s="77"/>
      <c r="AV186" s="78">
        <v>3630000</v>
      </c>
      <c r="AW186" s="79">
        <f t="shared" si="33"/>
        <v>2657581.7943839999</v>
      </c>
      <c r="AX186" s="124">
        <v>88657000</v>
      </c>
      <c r="AY186" s="80">
        <f t="shared" si="30"/>
        <v>64907225.659697592</v>
      </c>
      <c r="AZ186" s="124">
        <f>(88657+88050)/2*1000</f>
        <v>88353500</v>
      </c>
      <c r="BA186" s="124">
        <v>3840000</v>
      </c>
      <c r="BB186" s="124">
        <v>5778000</v>
      </c>
    </row>
    <row r="187" spans="1:55" x14ac:dyDescent="0.25">
      <c r="A187" s="8" t="s">
        <v>409</v>
      </c>
      <c r="B187" s="8" t="s">
        <v>410</v>
      </c>
      <c r="C187" s="18" t="s">
        <v>411</v>
      </c>
      <c r="D187" s="73" t="s">
        <v>66</v>
      </c>
      <c r="E187" s="73" t="s">
        <v>412</v>
      </c>
      <c r="F187" s="73">
        <v>0.49019608749999999</v>
      </c>
      <c r="G187" s="74">
        <v>2697504</v>
      </c>
      <c r="H187" s="74"/>
      <c r="I187" s="75">
        <v>97507</v>
      </c>
      <c r="J187" s="74">
        <v>111216194</v>
      </c>
      <c r="K187" s="76">
        <f t="shared" si="26"/>
        <v>54517743.165440977</v>
      </c>
      <c r="L187" s="75">
        <f>J187-R187</f>
        <v>75115290</v>
      </c>
      <c r="M187" s="76">
        <f t="shared" si="31"/>
        <v>36821221.269427873</v>
      </c>
      <c r="N187" s="75"/>
      <c r="O187" s="77"/>
      <c r="P187" s="75">
        <f>20820207+818452</f>
        <v>21638659</v>
      </c>
      <c r="Q187" s="77">
        <f t="shared" si="28"/>
        <v>10607185.980546663</v>
      </c>
      <c r="R187" s="75">
        <f>30079278+4102211+1125301+794114</f>
        <v>36100904</v>
      </c>
      <c r="S187" s="76">
        <f t="shared" si="29"/>
        <v>17696521.8960131</v>
      </c>
      <c r="T187" s="75">
        <v>30079278</v>
      </c>
      <c r="U187" s="75"/>
      <c r="V187" s="75"/>
      <c r="W187" s="75"/>
      <c r="X187" s="75"/>
      <c r="Y187" s="75"/>
      <c r="Z187" s="75"/>
      <c r="AA187" s="75"/>
      <c r="AB187" s="75"/>
      <c r="AC187" s="75"/>
      <c r="AD187" s="75"/>
      <c r="AE187" s="75"/>
      <c r="AF187" s="75">
        <v>798554</v>
      </c>
      <c r="AG187" s="76">
        <f>AF187*F187</f>
        <v>391448.04645747499</v>
      </c>
      <c r="AH187" s="75">
        <f>39400000+AS187</f>
        <v>39400000</v>
      </c>
      <c r="AI187" s="75"/>
      <c r="AJ187" s="82">
        <v>5414423</v>
      </c>
      <c r="AK187" s="76">
        <f>AJ187*F187</f>
        <v>2654128.9706700123</v>
      </c>
      <c r="AL187" s="82">
        <v>3660851</v>
      </c>
      <c r="AM187" s="76">
        <f>AL187*F187</f>
        <v>1794534.8371204624</v>
      </c>
      <c r="AN187" s="75">
        <v>16200000</v>
      </c>
      <c r="AO187" s="76">
        <f t="shared" si="32"/>
        <v>7941176.6174999997</v>
      </c>
      <c r="AP187" s="75"/>
      <c r="AQ187" s="75"/>
      <c r="AR187" s="77"/>
      <c r="AS187" s="75"/>
      <c r="AT187" s="75">
        <v>65279000</v>
      </c>
      <c r="AU187" s="77"/>
      <c r="AV187" s="78">
        <v>49500000</v>
      </c>
      <c r="AW187" s="79">
        <f t="shared" si="33"/>
        <v>24264706.331250001</v>
      </c>
      <c r="AX187" s="124">
        <f>301870618</f>
        <v>301870618</v>
      </c>
      <c r="AY187" s="80"/>
      <c r="AZ187" s="124">
        <f>(AX187+253305113)/2</f>
        <v>277587865.5</v>
      </c>
      <c r="BA187" s="124">
        <v>22309107</v>
      </c>
      <c r="BB187" s="124">
        <v>68547316</v>
      </c>
    </row>
    <row r="188" spans="1:55" x14ac:dyDescent="0.25">
      <c r="A188" s="8" t="s">
        <v>409</v>
      </c>
      <c r="B188" s="8" t="s">
        <v>413</v>
      </c>
      <c r="C188" s="18" t="s">
        <v>414</v>
      </c>
      <c r="D188" s="73" t="s">
        <v>71</v>
      </c>
      <c r="E188" s="73" t="s">
        <v>415</v>
      </c>
      <c r="F188" s="142">
        <v>0.44995136270000002</v>
      </c>
      <c r="G188" s="74">
        <f>95930+95043</f>
        <v>190973</v>
      </c>
      <c r="H188" s="74"/>
      <c r="I188" s="75"/>
      <c r="J188" s="74">
        <v>11769295</v>
      </c>
      <c r="K188" s="76">
        <f t="shared" si="26"/>
        <v>5295610.3232682971</v>
      </c>
      <c r="L188" s="75">
        <f>9730035+800926</f>
        <v>10530961</v>
      </c>
      <c r="M188" s="76">
        <f t="shared" si="31"/>
        <v>4738420.2524905549</v>
      </c>
      <c r="N188" s="75"/>
      <c r="O188" s="77"/>
      <c r="P188" s="75"/>
      <c r="Q188" s="77">
        <f t="shared" si="28"/>
        <v>0</v>
      </c>
      <c r="R188" s="75">
        <v>1238334</v>
      </c>
      <c r="S188" s="76">
        <f t="shared" si="29"/>
        <v>557190.07077774184</v>
      </c>
      <c r="T188" s="75"/>
      <c r="U188" s="75"/>
      <c r="V188" s="75"/>
      <c r="W188" s="75"/>
      <c r="X188" s="75"/>
      <c r="Y188" s="75"/>
      <c r="Z188" s="75"/>
      <c r="AA188" s="75"/>
      <c r="AB188" s="75"/>
      <c r="AC188" s="75"/>
      <c r="AD188" s="75"/>
      <c r="AE188" s="75"/>
      <c r="AF188" s="75"/>
      <c r="AG188" s="75"/>
      <c r="AH188" s="75">
        <f>3093412+2059088+AS188</f>
        <v>8163458</v>
      </c>
      <c r="AI188" s="75"/>
      <c r="AJ188" s="82">
        <v>366302</v>
      </c>
      <c r="AK188" s="76">
        <f>AJ188*F188</f>
        <v>164818.08405973541</v>
      </c>
      <c r="AL188" s="82">
        <f>162143+52480</f>
        <v>214623</v>
      </c>
      <c r="AM188" s="76">
        <f>AL188*F188</f>
        <v>96569.911316762111</v>
      </c>
      <c r="AN188" s="75">
        <v>3093412</v>
      </c>
      <c r="AO188" s="76">
        <f t="shared" si="32"/>
        <v>1391884.9447925324</v>
      </c>
      <c r="AP188" s="75"/>
      <c r="AQ188" s="75"/>
      <c r="AR188" s="77"/>
      <c r="AS188" s="75">
        <v>3010958</v>
      </c>
      <c r="AT188" s="75">
        <f>J188-AH188</f>
        <v>3605837</v>
      </c>
      <c r="AU188" s="77">
        <f>AT188*F188</f>
        <v>1622451.27182408</v>
      </c>
      <c r="AV188" s="78">
        <v>2621284</v>
      </c>
      <c r="AW188" s="79">
        <f t="shared" si="33"/>
        <v>1179450.3078237069</v>
      </c>
      <c r="AX188" s="124">
        <v>74784608</v>
      </c>
      <c r="AY188" s="80">
        <f>AX188*F188</f>
        <v>33649436.278585322</v>
      </c>
      <c r="AZ188" s="124">
        <f>(AX188+38708191)/2</f>
        <v>56746399.5</v>
      </c>
      <c r="BA188" s="124">
        <v>4206530</v>
      </c>
      <c r="BB188" s="124">
        <v>2336116</v>
      </c>
    </row>
    <row r="189" spans="1:55" x14ac:dyDescent="0.25">
      <c r="C189" s="18" t="s">
        <v>417</v>
      </c>
      <c r="D189" s="73" t="s">
        <v>552</v>
      </c>
      <c r="E189" s="73" t="s">
        <v>251</v>
      </c>
      <c r="F189" s="142">
        <v>1</v>
      </c>
      <c r="G189" s="74">
        <v>3406504</v>
      </c>
      <c r="H189" s="74"/>
      <c r="I189" s="75"/>
      <c r="J189" s="74">
        <v>69354297</v>
      </c>
      <c r="K189" s="76">
        <f t="shared" si="26"/>
        <v>69354297</v>
      </c>
      <c r="L189" s="75">
        <v>28306092</v>
      </c>
      <c r="M189" s="76"/>
      <c r="N189" s="75"/>
      <c r="O189" s="77"/>
      <c r="P189" s="75">
        <v>3855235</v>
      </c>
      <c r="Q189" s="77"/>
      <c r="R189" s="75">
        <f>23043383+12008558</f>
        <v>35051941</v>
      </c>
      <c r="S189" s="76">
        <f t="shared" si="29"/>
        <v>35051941</v>
      </c>
      <c r="T189" s="75"/>
      <c r="U189" s="75"/>
      <c r="V189" s="75"/>
      <c r="W189" s="75"/>
      <c r="X189" s="75">
        <v>14814811</v>
      </c>
      <c r="Y189" s="75"/>
      <c r="Z189" s="75">
        <v>1021361</v>
      </c>
      <c r="AA189" s="75"/>
      <c r="AB189" s="75">
        <f>X189+Z189</f>
        <v>15836172</v>
      </c>
      <c r="AC189" s="75"/>
      <c r="AD189" s="75"/>
      <c r="AE189" s="75"/>
      <c r="AF189" s="75">
        <v>3509509</v>
      </c>
      <c r="AG189" s="75"/>
      <c r="AH189" s="75">
        <f>46872118+28017440</f>
        <v>74889558</v>
      </c>
      <c r="AI189" s="75"/>
      <c r="AJ189" s="82"/>
      <c r="AK189" s="76"/>
      <c r="AL189" s="82"/>
      <c r="AM189" s="76"/>
      <c r="AN189" s="75">
        <v>13884736</v>
      </c>
      <c r="AO189" s="76">
        <f t="shared" si="32"/>
        <v>13884736</v>
      </c>
      <c r="AP189" s="75">
        <v>209</v>
      </c>
      <c r="AQ189" s="75"/>
      <c r="AR189" s="77"/>
      <c r="AS189" s="75"/>
      <c r="AT189" s="75">
        <f>J189-AH189</f>
        <v>-5535261</v>
      </c>
      <c r="AU189" s="77"/>
      <c r="AV189" s="78"/>
      <c r="AW189" s="79"/>
      <c r="AX189" s="124">
        <v>611864606</v>
      </c>
      <c r="AY189" s="80"/>
      <c r="AZ189" s="124">
        <f>(AX189+621660277)*0.5</f>
        <v>616762441.5</v>
      </c>
      <c r="BA189" s="124">
        <v>44164518</v>
      </c>
      <c r="BB189" s="124">
        <v>24298384</v>
      </c>
    </row>
    <row r="190" spans="1:55" x14ac:dyDescent="0.25">
      <c r="A190" s="8" t="s">
        <v>409</v>
      </c>
      <c r="B190" s="8" t="s">
        <v>416</v>
      </c>
      <c r="C190" s="9" t="s">
        <v>417</v>
      </c>
      <c r="D190" s="8" t="s">
        <v>418</v>
      </c>
      <c r="E190" s="8" t="s">
        <v>251</v>
      </c>
      <c r="F190" s="42">
        <v>1</v>
      </c>
      <c r="G190" s="10">
        <f>1858379*2</f>
        <v>3716758</v>
      </c>
      <c r="H190" s="10"/>
      <c r="I190" s="12">
        <v>60343</v>
      </c>
      <c r="J190" s="10">
        <v>70500000</v>
      </c>
      <c r="K190" s="11">
        <f t="shared" si="26"/>
        <v>70500000</v>
      </c>
      <c r="L190" s="10">
        <v>33100000</v>
      </c>
      <c r="M190" s="11">
        <f t="shared" si="31"/>
        <v>33100000</v>
      </c>
      <c r="N190" s="12"/>
      <c r="O190" s="13"/>
      <c r="P190" s="12">
        <f>3400000+1600000</f>
        <v>5000000</v>
      </c>
      <c r="Q190" s="13">
        <f t="shared" si="28"/>
        <v>5000000</v>
      </c>
      <c r="R190" s="12">
        <v>39900000</v>
      </c>
      <c r="S190" s="11">
        <f t="shared" si="29"/>
        <v>39900000</v>
      </c>
      <c r="T190" s="12">
        <v>24000000</v>
      </c>
      <c r="U190" s="12"/>
      <c r="V190" s="12"/>
      <c r="W190" s="12"/>
      <c r="X190" s="12">
        <v>15300000</v>
      </c>
      <c r="Y190" s="13">
        <f>X190*F190</f>
        <v>15300000</v>
      </c>
      <c r="Z190" s="12">
        <v>1100000</v>
      </c>
      <c r="AA190" s="13">
        <f>Z190*F190</f>
        <v>1100000</v>
      </c>
      <c r="AB190" s="12">
        <f>X190+Z190</f>
        <v>16400000</v>
      </c>
      <c r="AC190" s="13">
        <f>AB190*F190</f>
        <v>16400000</v>
      </c>
      <c r="AD190" s="12">
        <v>376494</v>
      </c>
      <c r="AE190" s="13">
        <f>AD190*F190</f>
        <v>376494</v>
      </c>
      <c r="AF190" s="12">
        <v>253692</v>
      </c>
      <c r="AG190" s="11">
        <f>AF190*F190</f>
        <v>253692</v>
      </c>
      <c r="AH190" s="12">
        <f>43629879+AS190</f>
        <v>70460322</v>
      </c>
      <c r="AI190" s="12"/>
      <c r="AJ190" s="14"/>
      <c r="AK190" s="11"/>
      <c r="AL190" s="14"/>
      <c r="AM190" s="11"/>
      <c r="AN190" s="12">
        <v>18267920</v>
      </c>
      <c r="AO190" s="11">
        <f t="shared" si="32"/>
        <v>18267920</v>
      </c>
      <c r="AP190" s="12">
        <v>207</v>
      </c>
      <c r="AQ190" s="12">
        <f>AS190+AT190</f>
        <v>26870121</v>
      </c>
      <c r="AR190" s="13">
        <f>AQ190*F190</f>
        <v>26870121</v>
      </c>
      <c r="AS190" s="12">
        <v>26830443</v>
      </c>
      <c r="AT190" s="12">
        <f>J190-AH190</f>
        <v>39678</v>
      </c>
      <c r="AU190" s="13">
        <f>AT190*F190</f>
        <v>39678</v>
      </c>
      <c r="AV190" s="15"/>
      <c r="AW190" s="16"/>
      <c r="AX190" s="121"/>
      <c r="AY190" s="17"/>
      <c r="AZ190" s="119"/>
      <c r="BA190" s="119"/>
      <c r="BB190" s="119"/>
    </row>
    <row r="191" spans="1:55" x14ac:dyDescent="0.25">
      <c r="A191" s="8" t="s">
        <v>409</v>
      </c>
      <c r="B191" s="8" t="s">
        <v>419</v>
      </c>
      <c r="C191" s="18" t="s">
        <v>420</v>
      </c>
      <c r="D191" s="8" t="s">
        <v>162</v>
      </c>
      <c r="E191" s="8" t="s">
        <v>251</v>
      </c>
      <c r="F191" s="42">
        <v>1</v>
      </c>
      <c r="G191" s="10">
        <f>605952*2</f>
        <v>1211904</v>
      </c>
      <c r="H191" s="10"/>
      <c r="I191" s="12"/>
      <c r="J191" s="10">
        <v>14391258</v>
      </c>
      <c r="K191" s="11">
        <f t="shared" si="26"/>
        <v>14391258</v>
      </c>
      <c r="L191" s="12">
        <v>7900503</v>
      </c>
      <c r="M191" s="11">
        <f t="shared" si="31"/>
        <v>7900503</v>
      </c>
      <c r="N191" s="12"/>
      <c r="O191" s="13"/>
      <c r="P191" s="12"/>
      <c r="Q191" s="13">
        <f t="shared" si="28"/>
        <v>0</v>
      </c>
      <c r="R191" s="12">
        <f>J191-L191</f>
        <v>6490755</v>
      </c>
      <c r="S191" s="11">
        <f t="shared" si="29"/>
        <v>6490755</v>
      </c>
      <c r="T191" s="12"/>
      <c r="U191" s="12"/>
      <c r="V191" s="12"/>
      <c r="W191" s="12"/>
      <c r="X191" s="12"/>
      <c r="Y191" s="12"/>
      <c r="Z191" s="12"/>
      <c r="AA191" s="12"/>
      <c r="AB191" s="12"/>
      <c r="AC191" s="12"/>
      <c r="AD191" s="12"/>
      <c r="AE191" s="13"/>
      <c r="AF191" s="12"/>
      <c r="AG191" s="12"/>
      <c r="AH191" s="12" t="s">
        <v>0</v>
      </c>
      <c r="AI191" s="12"/>
      <c r="AJ191" s="15"/>
      <c r="AK191" s="12"/>
      <c r="AL191" s="15"/>
      <c r="AM191" s="12"/>
      <c r="AN191" s="12">
        <v>5105607</v>
      </c>
      <c r="AO191" s="11">
        <f t="shared" si="32"/>
        <v>5105607</v>
      </c>
      <c r="AP191" s="12"/>
      <c r="AQ191" s="12"/>
      <c r="AR191" s="13"/>
      <c r="AS191" s="12">
        <v>12322370</v>
      </c>
      <c r="AT191" s="12"/>
      <c r="AU191" s="13"/>
      <c r="AV191" s="26"/>
      <c r="AW191" s="16"/>
      <c r="AX191" s="121"/>
      <c r="AY191" s="17"/>
      <c r="AZ191" s="119"/>
      <c r="BA191" s="119"/>
      <c r="BB191" s="119"/>
      <c r="BC191" s="8" t="s">
        <v>0</v>
      </c>
    </row>
    <row r="192" spans="1:55" x14ac:dyDescent="0.25">
      <c r="A192" s="8" t="s">
        <v>409</v>
      </c>
      <c r="B192" s="8" t="s">
        <v>421</v>
      </c>
      <c r="C192" s="18" t="s">
        <v>422</v>
      </c>
      <c r="D192" s="8" t="s">
        <v>96</v>
      </c>
      <c r="E192" s="8" t="s">
        <v>251</v>
      </c>
      <c r="F192" s="42">
        <v>1</v>
      </c>
      <c r="G192" s="10">
        <f>162944+164620</f>
        <v>327564</v>
      </c>
      <c r="H192" s="10"/>
      <c r="I192" s="12">
        <v>4378</v>
      </c>
      <c r="J192" s="10">
        <f>14680483+280123</f>
        <v>14960606</v>
      </c>
      <c r="K192" s="11">
        <f t="shared" si="26"/>
        <v>14960606</v>
      </c>
      <c r="L192" s="12">
        <f>9397810+3073601+67527+57577+480000+2890+124450</f>
        <v>13203855</v>
      </c>
      <c r="M192" s="11">
        <f t="shared" si="31"/>
        <v>13203855</v>
      </c>
      <c r="N192" s="12">
        <v>9397810</v>
      </c>
      <c r="O192" s="13">
        <f>N192*F192</f>
        <v>9397810</v>
      </c>
      <c r="P192" s="12">
        <f>3073601+57577</f>
        <v>3131178</v>
      </c>
      <c r="Q192" s="13">
        <f t="shared" si="28"/>
        <v>3131178</v>
      </c>
      <c r="R192" s="12">
        <f>J192-L192</f>
        <v>1756751</v>
      </c>
      <c r="S192" s="11">
        <f t="shared" si="29"/>
        <v>1756751</v>
      </c>
      <c r="T192" s="12"/>
      <c r="U192" s="12"/>
      <c r="V192" s="12"/>
      <c r="W192" s="12"/>
      <c r="X192" s="12"/>
      <c r="Y192" s="12"/>
      <c r="Z192" s="12"/>
      <c r="AA192" s="12"/>
      <c r="AB192" s="12"/>
      <c r="AC192" s="12"/>
      <c r="AD192" s="12">
        <v>280123</v>
      </c>
      <c r="AE192" s="13">
        <f>AD192*F192</f>
        <v>280123</v>
      </c>
      <c r="AF192" s="12">
        <v>537529</v>
      </c>
      <c r="AG192" s="11">
        <f t="shared" ref="AG192:AG199" si="34">AF192*F192</f>
        <v>537529</v>
      </c>
      <c r="AH192" s="12">
        <f>9346584+5196841</f>
        <v>14543425</v>
      </c>
      <c r="AI192" s="12"/>
      <c r="AJ192" s="14">
        <f>2003293+215932+8993</f>
        <v>2228218</v>
      </c>
      <c r="AK192" s="11">
        <f>AJ192*F192</f>
        <v>2228218</v>
      </c>
      <c r="AL192" s="14">
        <f>315135+41934+60529+79849</f>
        <v>497447</v>
      </c>
      <c r="AM192" s="11">
        <f>AL192*F192</f>
        <v>497447</v>
      </c>
      <c r="AN192" s="12">
        <v>5196841</v>
      </c>
      <c r="AO192" s="11">
        <f t="shared" si="32"/>
        <v>5196841</v>
      </c>
      <c r="AP192" s="12">
        <v>312</v>
      </c>
      <c r="AQ192" s="12"/>
      <c r="AR192" s="13"/>
      <c r="AS192" s="12">
        <v>5196841</v>
      </c>
      <c r="AT192" s="12">
        <f>J192-AH192</f>
        <v>417181</v>
      </c>
      <c r="AU192" s="13">
        <f>AT192*F192</f>
        <v>417181</v>
      </c>
      <c r="AV192" s="26">
        <v>540947</v>
      </c>
      <c r="AW192" s="16">
        <f>AV192*F192</f>
        <v>540947</v>
      </c>
      <c r="AX192" s="119">
        <v>139162620</v>
      </c>
      <c r="AY192" s="17">
        <f>AX192*F192</f>
        <v>139162620</v>
      </c>
      <c r="AZ192" s="119">
        <f>AX192+53236695</f>
        <v>192399315</v>
      </c>
      <c r="BA192" s="119">
        <v>1117665</v>
      </c>
      <c r="BB192" s="119">
        <v>9801408</v>
      </c>
    </row>
    <row r="193" spans="1:55" x14ac:dyDescent="0.25">
      <c r="A193" s="8" t="s">
        <v>409</v>
      </c>
      <c r="B193" s="8" t="s">
        <v>423</v>
      </c>
      <c r="C193" s="18" t="s">
        <v>424</v>
      </c>
      <c r="D193" s="8" t="s">
        <v>83</v>
      </c>
      <c r="E193" s="8" t="s">
        <v>425</v>
      </c>
      <c r="F193" s="8">
        <v>1.00548393E-2</v>
      </c>
      <c r="G193" s="10">
        <v>1903469</v>
      </c>
      <c r="H193" s="10"/>
      <c r="I193" s="12">
        <v>34432</v>
      </c>
      <c r="J193" s="10">
        <v>2376000000</v>
      </c>
      <c r="K193" s="11">
        <f t="shared" si="26"/>
        <v>23890298.176800001</v>
      </c>
      <c r="L193" s="12">
        <v>1079000000</v>
      </c>
      <c r="M193" s="11">
        <f t="shared" si="31"/>
        <v>10849171.604699999</v>
      </c>
      <c r="N193" s="12">
        <f>72%*L193</f>
        <v>776880000</v>
      </c>
      <c r="O193" s="13">
        <f>N193*F193</f>
        <v>7811403.5553839998</v>
      </c>
      <c r="P193" s="12">
        <f>22%*L193</f>
        <v>237380000</v>
      </c>
      <c r="Q193" s="13">
        <f t="shared" si="28"/>
        <v>2386817.7530339998</v>
      </c>
      <c r="R193" s="12">
        <v>1296000000</v>
      </c>
      <c r="S193" s="11">
        <f t="shared" si="29"/>
        <v>13031071.732799999</v>
      </c>
      <c r="T193" s="12"/>
      <c r="U193" s="12"/>
      <c r="V193" s="12"/>
      <c r="W193" s="12"/>
      <c r="X193" s="12"/>
      <c r="Y193" s="12"/>
      <c r="Z193" s="12"/>
      <c r="AA193" s="12"/>
      <c r="AB193" s="12">
        <f>29%*R193</f>
        <v>375840000</v>
      </c>
      <c r="AC193" s="13">
        <f>AB193*F193</f>
        <v>3779010.8025119998</v>
      </c>
      <c r="AD193" s="12"/>
      <c r="AE193" s="12"/>
      <c r="AF193" s="12">
        <f>17%*R193</f>
        <v>220320000.00000003</v>
      </c>
      <c r="AG193" s="11">
        <f t="shared" si="34"/>
        <v>2215282.1945760003</v>
      </c>
      <c r="AH193" s="12">
        <f>3182000000+AS193+124224</f>
        <v>3770124224</v>
      </c>
      <c r="AI193" s="12"/>
      <c r="AJ193" s="14"/>
      <c r="AK193" s="11"/>
      <c r="AL193" s="14"/>
      <c r="AM193" s="11"/>
      <c r="AN193" s="12">
        <f>47%*AH193</f>
        <v>1771958385.28</v>
      </c>
      <c r="AO193" s="11">
        <f t="shared" si="32"/>
        <v>17816756.810277887</v>
      </c>
      <c r="AP193" s="12"/>
      <c r="AQ193" s="12">
        <v>915000000</v>
      </c>
      <c r="AR193" s="13">
        <f>AQ193*F193</f>
        <v>9200177.9594999999</v>
      </c>
      <c r="AS193" s="12">
        <v>588000000</v>
      </c>
      <c r="AT193" s="12">
        <f>AQ193-AS193</f>
        <v>327000000</v>
      </c>
      <c r="AU193" s="13">
        <f>AT193*F193</f>
        <v>3287932.4511000002</v>
      </c>
      <c r="AV193" s="15">
        <v>193000000</v>
      </c>
      <c r="AW193" s="16">
        <f>AV193*F193</f>
        <v>1940583.9849</v>
      </c>
      <c r="AX193" s="119"/>
      <c r="AY193" s="17"/>
      <c r="AZ193" s="119"/>
      <c r="BA193" s="119"/>
      <c r="BB193" s="119"/>
    </row>
    <row r="194" spans="1:55" x14ac:dyDescent="0.25">
      <c r="A194" s="8" t="s">
        <v>409</v>
      </c>
      <c r="B194" s="8" t="s">
        <v>426</v>
      </c>
      <c r="C194" s="18" t="s">
        <v>427</v>
      </c>
      <c r="D194" s="73" t="s">
        <v>418</v>
      </c>
      <c r="E194" s="73" t="s">
        <v>251</v>
      </c>
      <c r="F194" s="142">
        <v>1</v>
      </c>
      <c r="G194" s="74">
        <f>736970*2</f>
        <v>1473940</v>
      </c>
      <c r="H194" s="74"/>
      <c r="I194" s="75">
        <v>38719</v>
      </c>
      <c r="J194" s="74">
        <v>17213296</v>
      </c>
      <c r="K194" s="76">
        <f t="shared" si="26"/>
        <v>17213296</v>
      </c>
      <c r="L194" s="75">
        <v>10627037</v>
      </c>
      <c r="M194" s="76">
        <f t="shared" si="31"/>
        <v>10627037</v>
      </c>
      <c r="N194" s="75"/>
      <c r="O194" s="77"/>
      <c r="P194" s="75">
        <v>1809681</v>
      </c>
      <c r="Q194" s="77"/>
      <c r="R194" s="75">
        <v>6586259</v>
      </c>
      <c r="S194" s="76"/>
      <c r="T194" s="75"/>
      <c r="U194" s="75"/>
      <c r="V194" s="75"/>
      <c r="W194" s="75"/>
      <c r="X194" s="75">
        <v>3465732</v>
      </c>
      <c r="Y194" s="77"/>
      <c r="Z194" s="75">
        <v>389235</v>
      </c>
      <c r="AA194" s="77"/>
      <c r="AB194" s="75">
        <f>X194+Z194</f>
        <v>3854967</v>
      </c>
      <c r="AC194" s="77"/>
      <c r="AD194" s="75"/>
      <c r="AE194" s="75"/>
      <c r="AF194" s="75">
        <v>216011</v>
      </c>
      <c r="AG194" s="76"/>
      <c r="AH194" s="75">
        <v>16824704</v>
      </c>
      <c r="AI194" s="75"/>
      <c r="AJ194" s="82">
        <v>5914562</v>
      </c>
      <c r="AK194" s="76"/>
      <c r="AL194" s="82">
        <v>924603</v>
      </c>
      <c r="AM194" s="76"/>
      <c r="AN194" s="75">
        <v>6521095</v>
      </c>
      <c r="AO194" s="75"/>
      <c r="AP194" s="75"/>
      <c r="AQ194" s="75"/>
      <c r="AR194" s="77"/>
      <c r="AS194" s="75"/>
      <c r="AT194" s="75">
        <v>388592</v>
      </c>
      <c r="AU194" s="77"/>
      <c r="AV194" s="111"/>
      <c r="AW194" s="79"/>
      <c r="AX194" s="125"/>
      <c r="AY194" s="79"/>
      <c r="AZ194" s="125"/>
      <c r="BA194" s="125"/>
      <c r="BB194" s="125"/>
    </row>
    <row r="195" spans="1:55" ht="17.25" customHeight="1" x14ac:dyDescent="0.25">
      <c r="A195" s="8" t="s">
        <v>409</v>
      </c>
      <c r="B195" s="8" t="s">
        <v>428</v>
      </c>
      <c r="C195" s="37" t="s">
        <v>429</v>
      </c>
      <c r="D195" s="73" t="s">
        <v>418</v>
      </c>
      <c r="E195" s="73" t="s">
        <v>251</v>
      </c>
      <c r="F195" s="142">
        <v>1</v>
      </c>
      <c r="G195" s="74">
        <f>70393*2</f>
        <v>140786</v>
      </c>
      <c r="H195" s="74"/>
      <c r="I195" s="75">
        <v>9866</v>
      </c>
      <c r="J195" s="74">
        <v>1691911</v>
      </c>
      <c r="K195" s="76">
        <f t="shared" si="26"/>
        <v>1691911</v>
      </c>
      <c r="L195" s="75">
        <v>533962</v>
      </c>
      <c r="M195" s="76">
        <f t="shared" si="31"/>
        <v>533962</v>
      </c>
      <c r="N195" s="75"/>
      <c r="O195" s="77"/>
      <c r="P195" s="75">
        <v>254955</v>
      </c>
      <c r="Q195" s="77"/>
      <c r="R195" s="75">
        <v>1157949</v>
      </c>
      <c r="S195" s="76">
        <f t="shared" si="29"/>
        <v>1157949</v>
      </c>
      <c r="T195" s="75"/>
      <c r="U195" s="75"/>
      <c r="V195" s="75"/>
      <c r="W195" s="73"/>
      <c r="X195" s="75">
        <v>17408</v>
      </c>
      <c r="Y195" s="77"/>
      <c r="Z195" s="75">
        <v>57331</v>
      </c>
      <c r="AA195" s="77"/>
      <c r="AB195" s="75">
        <f>X195+Z195</f>
        <v>74739</v>
      </c>
      <c r="AC195" s="77"/>
      <c r="AD195" s="75"/>
      <c r="AE195" s="75"/>
      <c r="AF195" s="75">
        <v>125184</v>
      </c>
      <c r="AG195" s="76">
        <f t="shared" si="34"/>
        <v>125184</v>
      </c>
      <c r="AH195" s="75">
        <v>2434299</v>
      </c>
      <c r="AI195" s="75"/>
      <c r="AJ195" s="82">
        <v>377797</v>
      </c>
      <c r="AK195" s="76"/>
      <c r="AL195" s="82"/>
      <c r="AM195" s="76"/>
      <c r="AN195" s="75"/>
      <c r="AO195" s="76"/>
      <c r="AP195" s="75"/>
      <c r="AQ195" s="75"/>
      <c r="AR195" s="77"/>
      <c r="AS195" s="75"/>
      <c r="AT195" s="75">
        <v>-742388</v>
      </c>
      <c r="AU195" s="77"/>
      <c r="AV195" s="111"/>
      <c r="AW195" s="79"/>
      <c r="AX195" s="125"/>
      <c r="AY195" s="79"/>
      <c r="AZ195" s="125"/>
      <c r="BA195" s="125"/>
      <c r="BB195" s="125"/>
    </row>
    <row r="196" spans="1:55" ht="17.25" customHeight="1" x14ac:dyDescent="0.25">
      <c r="C196" s="143" t="s">
        <v>553</v>
      </c>
      <c r="D196" s="73" t="s">
        <v>199</v>
      </c>
      <c r="E196" s="73" t="s">
        <v>251</v>
      </c>
      <c r="F196" s="142">
        <v>1</v>
      </c>
      <c r="G196" s="74">
        <v>37557406</v>
      </c>
      <c r="H196" s="74"/>
      <c r="I196" s="75">
        <f>172433*2</f>
        <v>344866</v>
      </c>
      <c r="J196" s="74">
        <v>431094865</v>
      </c>
      <c r="K196" s="76">
        <f t="shared" si="26"/>
        <v>431094865</v>
      </c>
      <c r="L196" s="75">
        <f>86058597+74081777+59014046</f>
        <v>219154420</v>
      </c>
      <c r="M196" s="76"/>
      <c r="N196" s="75"/>
      <c r="O196" s="77"/>
      <c r="P196" s="75"/>
      <c r="Q196" s="77"/>
      <c r="R196" s="75">
        <f>181725784+20063023+10151638</f>
        <v>211940445</v>
      </c>
      <c r="S196" s="76"/>
      <c r="T196" s="75"/>
      <c r="U196" s="75">
        <v>40000000</v>
      </c>
      <c r="V196" s="75"/>
      <c r="W196" s="73"/>
      <c r="X196" s="75">
        <f>12443765+U196</f>
        <v>52443765</v>
      </c>
      <c r="Y196" s="77"/>
      <c r="Z196" s="75">
        <f>11132007</f>
        <v>11132007</v>
      </c>
      <c r="AA196" s="77"/>
      <c r="AB196" s="75">
        <f>Z196+X196</f>
        <v>63575772</v>
      </c>
      <c r="AC196" s="77"/>
      <c r="AD196" s="75"/>
      <c r="AE196" s="75"/>
      <c r="AF196" s="75">
        <v>27141722</v>
      </c>
      <c r="AG196" s="76">
        <f t="shared" si="34"/>
        <v>27141722</v>
      </c>
      <c r="AH196" s="75">
        <v>413497245</v>
      </c>
      <c r="AI196" s="75"/>
      <c r="AJ196" s="82">
        <v>34557844</v>
      </c>
      <c r="AK196" s="76"/>
      <c r="AL196" s="82">
        <v>34317502</v>
      </c>
      <c r="AM196" s="76"/>
      <c r="AN196" s="75">
        <v>110195913</v>
      </c>
      <c r="AO196" s="76">
        <f>AN196*F196</f>
        <v>110195913</v>
      </c>
      <c r="AP196" s="75"/>
      <c r="AQ196" s="75"/>
      <c r="AR196" s="77"/>
      <c r="AS196" s="75"/>
      <c r="AT196" s="75">
        <v>17597620</v>
      </c>
      <c r="AU196" s="77"/>
      <c r="AV196" s="111"/>
      <c r="AW196" s="79"/>
      <c r="AX196" s="125">
        <v>4547608286</v>
      </c>
      <c r="AY196" s="79"/>
      <c r="AZ196" s="125">
        <f>(AX196+4067752033)/2</f>
        <v>4307680159.5</v>
      </c>
      <c r="BA196" s="125">
        <f>237952536+55674775</f>
        <v>293627311</v>
      </c>
      <c r="BB196" s="125">
        <v>126979579</v>
      </c>
    </row>
    <row r="197" spans="1:55" ht="14.25" customHeight="1" x14ac:dyDescent="0.25">
      <c r="A197" s="8" t="s">
        <v>409</v>
      </c>
      <c r="B197" s="8" t="s">
        <v>430</v>
      </c>
      <c r="C197" s="18" t="s">
        <v>431</v>
      </c>
      <c r="D197" s="73" t="s">
        <v>199</v>
      </c>
      <c r="E197" s="73" t="s">
        <v>251</v>
      </c>
      <c r="F197" s="142">
        <v>1</v>
      </c>
      <c r="G197" s="109">
        <f>10655473*2</f>
        <v>21310946</v>
      </c>
      <c r="H197" s="109"/>
      <c r="I197" s="75"/>
      <c r="J197" s="109">
        <v>280345040</v>
      </c>
      <c r="K197" s="76">
        <f t="shared" si="26"/>
        <v>280345040</v>
      </c>
      <c r="L197" s="75">
        <v>119427560</v>
      </c>
      <c r="M197" s="76"/>
      <c r="N197" s="73"/>
      <c r="O197" s="77"/>
      <c r="P197" s="75">
        <v>56889927</v>
      </c>
      <c r="Q197" s="77"/>
      <c r="R197" s="75">
        <f>J197-L197</f>
        <v>160917480</v>
      </c>
      <c r="S197" s="76"/>
      <c r="T197" s="73"/>
      <c r="U197" s="73"/>
      <c r="V197" s="73"/>
      <c r="W197" s="75">
        <v>12190904</v>
      </c>
      <c r="X197" s="75"/>
      <c r="Y197" s="77"/>
      <c r="Z197" s="75">
        <v>7094447</v>
      </c>
      <c r="AA197" s="77"/>
      <c r="AB197" s="75"/>
      <c r="AC197" s="77"/>
      <c r="AD197" s="73"/>
      <c r="AE197" s="73"/>
      <c r="AF197" s="75">
        <v>18150825</v>
      </c>
      <c r="AG197" s="76">
        <f t="shared" si="34"/>
        <v>18150825</v>
      </c>
      <c r="AH197" s="75">
        <v>238092905</v>
      </c>
      <c r="AI197" s="75"/>
      <c r="AJ197" s="82">
        <v>25071480</v>
      </c>
      <c r="AK197" s="76"/>
      <c r="AL197" s="82">
        <v>24479076</v>
      </c>
      <c r="AM197" s="76"/>
      <c r="AN197" s="75">
        <v>55891696</v>
      </c>
      <c r="AO197" s="76">
        <f>AN197*F197</f>
        <v>55891696</v>
      </c>
      <c r="AP197" s="73"/>
      <c r="AQ197" s="75"/>
      <c r="AR197" s="77"/>
      <c r="AS197" s="73"/>
      <c r="AT197" s="75">
        <v>42252135</v>
      </c>
      <c r="AU197" s="77"/>
      <c r="AV197" s="78"/>
      <c r="AW197" s="79"/>
      <c r="AX197" s="125"/>
      <c r="AY197" s="79"/>
      <c r="AZ197" s="125"/>
      <c r="BA197" s="125"/>
      <c r="BB197" s="125"/>
    </row>
    <row r="198" spans="1:55" ht="14.25" customHeight="1" x14ac:dyDescent="0.25">
      <c r="A198" s="8" t="s">
        <v>409</v>
      </c>
      <c r="B198" s="8" t="s">
        <v>430</v>
      </c>
      <c r="C198" s="18" t="s">
        <v>432</v>
      </c>
      <c r="D198" s="73" t="s">
        <v>199</v>
      </c>
      <c r="E198" s="73" t="s">
        <v>251</v>
      </c>
      <c r="F198" s="142">
        <v>1</v>
      </c>
      <c r="G198" s="109">
        <f>3653790*2</f>
        <v>7307580</v>
      </c>
      <c r="H198" s="109"/>
      <c r="I198" s="75"/>
      <c r="J198" s="109">
        <v>72349521</v>
      </c>
      <c r="K198" s="76">
        <f t="shared" si="26"/>
        <v>72349521</v>
      </c>
      <c r="L198" s="75">
        <v>31864555</v>
      </c>
      <c r="M198" s="76"/>
      <c r="N198" s="73"/>
      <c r="O198" s="77"/>
      <c r="P198" s="75"/>
      <c r="Q198" s="77"/>
      <c r="R198" s="75">
        <f>J198-L198</f>
        <v>40484966</v>
      </c>
      <c r="S198" s="76"/>
      <c r="T198" s="73"/>
      <c r="U198" s="73"/>
      <c r="V198" s="73"/>
      <c r="W198" s="73"/>
      <c r="X198" s="75">
        <v>3318525</v>
      </c>
      <c r="Y198" s="77"/>
      <c r="Z198" s="75">
        <v>2241596</v>
      </c>
      <c r="AA198" s="77"/>
      <c r="AB198" s="75"/>
      <c r="AC198" s="77"/>
      <c r="AD198" s="73"/>
      <c r="AE198" s="73"/>
      <c r="AF198" s="75">
        <v>4096146</v>
      </c>
      <c r="AG198" s="76">
        <f t="shared" si="34"/>
        <v>4096146</v>
      </c>
      <c r="AH198" s="75">
        <v>52821550</v>
      </c>
      <c r="AI198" s="75"/>
      <c r="AJ198" s="82">
        <v>3877872</v>
      </c>
      <c r="AK198" s="76"/>
      <c r="AL198" s="82">
        <v>4934582</v>
      </c>
      <c r="AM198" s="76"/>
      <c r="AN198" s="75">
        <v>14979966</v>
      </c>
      <c r="AO198" s="76"/>
      <c r="AP198" s="73"/>
      <c r="AQ198" s="75"/>
      <c r="AR198" s="77"/>
      <c r="AS198" s="73"/>
      <c r="AT198" s="75">
        <v>19527971</v>
      </c>
      <c r="AU198" s="77"/>
      <c r="AV198" s="78"/>
      <c r="AW198" s="79"/>
      <c r="AX198" s="125"/>
      <c r="AY198" s="79"/>
      <c r="AZ198" s="125"/>
      <c r="BA198" s="125"/>
      <c r="BB198" s="125"/>
      <c r="BC198" s="8" t="s">
        <v>0</v>
      </c>
    </row>
    <row r="199" spans="1:55" x14ac:dyDescent="0.25">
      <c r="A199" s="8" t="s">
        <v>433</v>
      </c>
      <c r="B199" s="8" t="s">
        <v>434</v>
      </c>
      <c r="C199" s="18" t="s">
        <v>435</v>
      </c>
      <c r="D199" s="8" t="s">
        <v>83</v>
      </c>
      <c r="E199" s="8" t="s">
        <v>251</v>
      </c>
      <c r="F199" s="42">
        <v>1</v>
      </c>
      <c r="G199" s="10">
        <v>3300000</v>
      </c>
      <c r="H199" s="10"/>
      <c r="I199" s="12">
        <v>78512</v>
      </c>
      <c r="J199" s="10">
        <v>77000000</v>
      </c>
      <c r="K199" s="11">
        <f t="shared" si="26"/>
        <v>77000000</v>
      </c>
      <c r="L199" s="12">
        <v>61542785</v>
      </c>
      <c r="M199" s="11">
        <f t="shared" si="31"/>
        <v>61542785</v>
      </c>
      <c r="N199" s="12">
        <f>45464431+7525014</f>
        <v>52989445</v>
      </c>
      <c r="O199" s="13">
        <f>N199*F199</f>
        <v>52989445</v>
      </c>
      <c r="P199" s="12">
        <f>6715080+134440</f>
        <v>6849520</v>
      </c>
      <c r="Q199" s="13">
        <f t="shared" si="28"/>
        <v>6849520</v>
      </c>
      <c r="R199" s="12">
        <f>J199-L199</f>
        <v>15457215</v>
      </c>
      <c r="S199" s="11">
        <f t="shared" si="29"/>
        <v>15457215</v>
      </c>
      <c r="T199" s="12"/>
      <c r="U199" s="12"/>
      <c r="V199" s="12"/>
      <c r="W199" s="12"/>
      <c r="X199" s="12"/>
      <c r="Y199" s="12"/>
      <c r="Z199" s="12"/>
      <c r="AA199" s="12"/>
      <c r="AB199" s="12"/>
      <c r="AC199" s="12"/>
      <c r="AD199" s="12"/>
      <c r="AE199" s="12"/>
      <c r="AF199" s="12">
        <v>2927622</v>
      </c>
      <c r="AG199" s="11">
        <f t="shared" si="34"/>
        <v>2927622</v>
      </c>
      <c r="AH199" s="12">
        <f>23964456+AS199</f>
        <v>48532309</v>
      </c>
      <c r="AI199" s="12"/>
      <c r="AJ199" s="14">
        <v>4083845</v>
      </c>
      <c r="AK199" s="11">
        <f>AJ199*F199</f>
        <v>4083845</v>
      </c>
      <c r="AL199" s="14">
        <v>2457887</v>
      </c>
      <c r="AM199" s="11">
        <f>AL199*F199</f>
        <v>2457887</v>
      </c>
      <c r="AN199" s="12">
        <v>8847103</v>
      </c>
      <c r="AO199" s="11">
        <f>AN199*F199</f>
        <v>8847103</v>
      </c>
      <c r="AP199" s="12"/>
      <c r="AQ199" s="12">
        <f>AS199+AT199</f>
        <v>53035544</v>
      </c>
      <c r="AR199" s="13">
        <f>AQ199*F199</f>
        <v>53035544</v>
      </c>
      <c r="AS199" s="12">
        <f>17673895+1664469+4892049+337440</f>
        <v>24567853</v>
      </c>
      <c r="AT199" s="12">
        <f>J199-AH199</f>
        <v>28467691</v>
      </c>
      <c r="AU199" s="13">
        <f>AT199*F199</f>
        <v>28467691</v>
      </c>
      <c r="AV199" s="15">
        <v>-14513373</v>
      </c>
      <c r="AW199" s="16">
        <f>AV199*F199</f>
        <v>-14513373</v>
      </c>
      <c r="AX199" s="128">
        <v>484429076</v>
      </c>
      <c r="AY199" s="17">
        <f>AX199*F199</f>
        <v>484429076</v>
      </c>
      <c r="AZ199" s="119">
        <f>(AX199+500227092)/2</f>
        <v>492328084</v>
      </c>
      <c r="BA199" s="119">
        <v>23471686</v>
      </c>
      <c r="BB199" s="119">
        <v>24812162</v>
      </c>
    </row>
    <row r="200" spans="1:55" x14ac:dyDescent="0.25">
      <c r="A200" s="8" t="s">
        <v>433</v>
      </c>
      <c r="B200" s="8" t="s">
        <v>436</v>
      </c>
      <c r="C200" s="18" t="s">
        <v>437</v>
      </c>
      <c r="D200" s="73" t="s">
        <v>527</v>
      </c>
      <c r="E200" s="73" t="s">
        <v>110</v>
      </c>
      <c r="F200" s="73">
        <v>1.1998614888000001</v>
      </c>
      <c r="G200" s="109">
        <v>5000000</v>
      </c>
      <c r="H200" s="109"/>
      <c r="I200" s="75"/>
      <c r="J200" s="74">
        <f>8%*1607000000</f>
        <v>128560000</v>
      </c>
      <c r="K200" s="76">
        <f t="shared" si="26"/>
        <v>154254193.000128</v>
      </c>
      <c r="L200" s="75"/>
      <c r="M200" s="76"/>
      <c r="N200" s="75"/>
      <c r="O200" s="77"/>
      <c r="P200" s="75"/>
      <c r="Q200" s="77">
        <f t="shared" si="28"/>
        <v>0</v>
      </c>
      <c r="R200" s="75"/>
      <c r="S200" s="76">
        <f t="shared" si="29"/>
        <v>0</v>
      </c>
      <c r="T200" s="75"/>
      <c r="U200" s="75"/>
      <c r="V200" s="75"/>
      <c r="W200" s="75"/>
      <c r="X200" s="75"/>
      <c r="Y200" s="75"/>
      <c r="Z200" s="75"/>
      <c r="AA200" s="75"/>
      <c r="AB200" s="75"/>
      <c r="AC200" s="75"/>
      <c r="AD200" s="75"/>
      <c r="AE200" s="75"/>
      <c r="AF200" s="75"/>
      <c r="AG200" s="75"/>
      <c r="AH200" s="75"/>
      <c r="AI200" s="75"/>
      <c r="AJ200" s="78"/>
      <c r="AK200" s="75"/>
      <c r="AL200" s="78"/>
      <c r="AM200" s="75"/>
      <c r="AN200" s="75"/>
      <c r="AO200" s="75"/>
      <c r="AP200" s="75"/>
      <c r="AQ200" s="75">
        <f>12%*941000000</f>
        <v>112920000</v>
      </c>
      <c r="AR200" s="77"/>
      <c r="AS200" s="75"/>
      <c r="AT200" s="75"/>
      <c r="AU200" s="73"/>
      <c r="AV200" s="111"/>
      <c r="AW200" s="79"/>
      <c r="AX200" s="125"/>
      <c r="AY200" s="80"/>
      <c r="AZ200" s="124"/>
      <c r="BA200" s="124"/>
      <c r="BB200" s="124"/>
    </row>
    <row r="201" spans="1:55" x14ac:dyDescent="0.25">
      <c r="A201" s="8" t="s">
        <v>433</v>
      </c>
      <c r="B201" s="8" t="s">
        <v>438</v>
      </c>
      <c r="C201" s="18" t="s">
        <v>439</v>
      </c>
      <c r="D201" s="8" t="s">
        <v>91</v>
      </c>
      <c r="E201" s="8" t="s">
        <v>251</v>
      </c>
      <c r="F201" s="42">
        <v>1</v>
      </c>
      <c r="G201" s="10">
        <v>1586362</v>
      </c>
      <c r="H201" s="10"/>
      <c r="I201" s="12">
        <v>20771</v>
      </c>
      <c r="J201" s="10">
        <v>38085000</v>
      </c>
      <c r="K201" s="11">
        <f t="shared" si="26"/>
        <v>38085000</v>
      </c>
      <c r="L201" s="12">
        <f>64%*J201</f>
        <v>24374400</v>
      </c>
      <c r="M201" s="11">
        <f>F201*L201</f>
        <v>24374400</v>
      </c>
      <c r="N201" s="12">
        <v>12343000</v>
      </c>
      <c r="O201" s="13">
        <f>N201*F201</f>
        <v>12343000</v>
      </c>
      <c r="P201" s="12">
        <v>3432000</v>
      </c>
      <c r="Q201" s="13">
        <f t="shared" si="28"/>
        <v>3432000</v>
      </c>
      <c r="R201" s="12">
        <f>J201-L201</f>
        <v>13710600</v>
      </c>
      <c r="S201" s="11">
        <f t="shared" si="29"/>
        <v>13710600</v>
      </c>
      <c r="T201" s="12">
        <v>7757000</v>
      </c>
      <c r="U201" s="12"/>
      <c r="V201" s="12"/>
      <c r="W201" s="12"/>
      <c r="X201" s="12"/>
      <c r="Y201" s="12"/>
      <c r="Z201" s="12"/>
      <c r="AA201" s="12"/>
      <c r="AB201" s="12"/>
      <c r="AC201" s="12"/>
      <c r="AD201" s="12">
        <v>435000</v>
      </c>
      <c r="AE201" s="13">
        <f>AD201*F201</f>
        <v>435000</v>
      </c>
      <c r="AF201" s="12">
        <v>829000</v>
      </c>
      <c r="AG201" s="11">
        <f>AF201*F201</f>
        <v>829000</v>
      </c>
      <c r="AH201" s="12">
        <f>26041000+AS201</f>
        <v>35545000</v>
      </c>
      <c r="AI201" s="12"/>
      <c r="AJ201" s="14">
        <v>3530000</v>
      </c>
      <c r="AK201" s="11">
        <f>AJ201*F201</f>
        <v>3530000</v>
      </c>
      <c r="AL201" s="14">
        <v>4042000</v>
      </c>
      <c r="AM201" s="11">
        <f>AL201*F201</f>
        <v>4042000</v>
      </c>
      <c r="AN201" s="12">
        <v>7159000</v>
      </c>
      <c r="AO201" s="11">
        <f>AN201*F201</f>
        <v>7159000</v>
      </c>
      <c r="AP201" s="12">
        <v>289</v>
      </c>
      <c r="AQ201" s="12">
        <f>AS201+AT201</f>
        <v>19037000</v>
      </c>
      <c r="AR201" s="13">
        <f>AQ201*F201</f>
        <v>19037000</v>
      </c>
      <c r="AS201" s="12">
        <v>9504000</v>
      </c>
      <c r="AT201" s="12">
        <v>9533000</v>
      </c>
      <c r="AU201" s="13">
        <f>AT201*F201</f>
        <v>9533000</v>
      </c>
      <c r="AV201" s="15">
        <v>5205000</v>
      </c>
      <c r="AW201" s="16">
        <f>AV201*F201</f>
        <v>5205000</v>
      </c>
      <c r="AX201" s="119">
        <f>123399000+45375000</f>
        <v>168774000</v>
      </c>
      <c r="AY201" s="17">
        <f>AX201*F201</f>
        <v>168774000</v>
      </c>
      <c r="AZ201" s="119">
        <f>(AX201+124710000+37655000)/2</f>
        <v>165569500</v>
      </c>
      <c r="BA201" s="119">
        <v>12255000</v>
      </c>
      <c r="BB201" s="119">
        <v>10355000</v>
      </c>
    </row>
    <row r="202" spans="1:55" x14ac:dyDescent="0.25">
      <c r="A202" s="8" t="s">
        <v>433</v>
      </c>
      <c r="B202" s="8" t="s">
        <v>438</v>
      </c>
      <c r="C202" s="18" t="s">
        <v>440</v>
      </c>
      <c r="D202" s="8" t="s">
        <v>83</v>
      </c>
      <c r="E202" s="8" t="s">
        <v>251</v>
      </c>
      <c r="F202" s="42">
        <v>1</v>
      </c>
      <c r="G202" s="10">
        <v>4226000</v>
      </c>
      <c r="H202" s="10">
        <v>4226000</v>
      </c>
      <c r="I202" s="12"/>
      <c r="J202" s="10">
        <f>1786556000*0.050666</f>
        <v>90517646.296000004</v>
      </c>
      <c r="K202" s="11">
        <f t="shared" si="26"/>
        <v>90517646.296000004</v>
      </c>
      <c r="L202" s="12">
        <f>1290079000*0.050666</f>
        <v>65363142.614</v>
      </c>
      <c r="M202" s="11">
        <f>F202*L202</f>
        <v>65363142.614</v>
      </c>
      <c r="N202" s="12"/>
      <c r="O202" s="13"/>
      <c r="P202" s="12"/>
      <c r="Q202" s="13">
        <f t="shared" si="28"/>
        <v>0</v>
      </c>
      <c r="R202" s="12">
        <f>496477000*0.050666</f>
        <v>25154503.682</v>
      </c>
      <c r="S202" s="11">
        <f t="shared" si="29"/>
        <v>25154503.682</v>
      </c>
      <c r="T202" s="12"/>
      <c r="U202" s="12">
        <v>8800000</v>
      </c>
      <c r="V202" s="20">
        <f>U202*F202</f>
        <v>8800000</v>
      </c>
      <c r="W202" s="12"/>
      <c r="X202" s="12"/>
      <c r="Y202" s="12"/>
      <c r="Z202" s="12">
        <v>3600000</v>
      </c>
      <c r="AA202" s="13">
        <f>Z202*F202</f>
        <v>3600000</v>
      </c>
      <c r="AD202" s="12"/>
      <c r="AE202" s="12"/>
      <c r="AF202" s="12"/>
      <c r="AG202" s="12"/>
      <c r="AH202" s="12">
        <f>876232000*0.050666+AS202</f>
        <v>61867897.938000008</v>
      </c>
      <c r="AI202" s="12"/>
      <c r="AJ202" s="14"/>
      <c r="AK202" s="11"/>
      <c r="AL202" s="14"/>
      <c r="AM202" s="11"/>
      <c r="AN202" s="12"/>
      <c r="AO202" s="12"/>
      <c r="AP202" s="12">
        <v>160</v>
      </c>
      <c r="AQ202" s="12">
        <f>AS202+AT202</f>
        <v>46122475.783999994</v>
      </c>
      <c r="AR202" s="13">
        <f>AQ202*F202</f>
        <v>46122475.783999994</v>
      </c>
      <c r="AS202" s="12">
        <f>344861000*0.050666</f>
        <v>17472727.426000003</v>
      </c>
      <c r="AT202" s="12">
        <f>J202-AH202</f>
        <v>28649748.357999995</v>
      </c>
      <c r="AV202" s="26"/>
      <c r="AW202" s="16"/>
      <c r="AX202" s="121"/>
      <c r="AY202" s="17"/>
      <c r="AZ202" s="119"/>
      <c r="BA202" s="119"/>
      <c r="BB202" s="119"/>
    </row>
    <row r="203" spans="1:55" x14ac:dyDescent="0.25">
      <c r="A203" s="8" t="s">
        <v>433</v>
      </c>
      <c r="B203" s="8" t="s">
        <v>441</v>
      </c>
      <c r="C203" s="18" t="s">
        <v>442</v>
      </c>
      <c r="D203" s="73" t="s">
        <v>552</v>
      </c>
      <c r="E203" s="73" t="s">
        <v>251</v>
      </c>
      <c r="F203" s="142">
        <v>1</v>
      </c>
      <c r="G203" s="109"/>
      <c r="H203" s="74"/>
      <c r="I203" s="74"/>
      <c r="J203" s="74">
        <v>11866022</v>
      </c>
      <c r="K203" s="76"/>
      <c r="L203" s="75">
        <v>6966425</v>
      </c>
      <c r="M203" s="76"/>
      <c r="N203" s="75"/>
      <c r="O203" s="77"/>
      <c r="P203" s="75"/>
      <c r="Q203" s="77"/>
      <c r="R203" s="75">
        <v>4899597</v>
      </c>
      <c r="S203" s="76"/>
      <c r="T203" s="75"/>
      <c r="U203" s="75"/>
      <c r="V203" s="75"/>
      <c r="W203" s="75"/>
      <c r="X203" s="75">
        <v>405880</v>
      </c>
      <c r="Y203" s="77"/>
      <c r="Z203" s="75">
        <v>440594</v>
      </c>
      <c r="AA203" s="77"/>
      <c r="AB203" s="75">
        <f>X203+Z203</f>
        <v>846474</v>
      </c>
      <c r="AC203" s="77"/>
      <c r="AD203" s="75"/>
      <c r="AE203" s="75"/>
      <c r="AF203" s="75">
        <v>557020</v>
      </c>
      <c r="AG203" s="75"/>
      <c r="AH203" s="75">
        <v>9182094</v>
      </c>
      <c r="AI203" s="75"/>
      <c r="AJ203" s="78">
        <v>2410007</v>
      </c>
      <c r="AK203" s="75"/>
      <c r="AL203" s="78">
        <v>459713</v>
      </c>
      <c r="AM203" s="75"/>
      <c r="AN203" s="75">
        <v>3006327</v>
      </c>
      <c r="AO203" s="75"/>
      <c r="AP203" s="75"/>
      <c r="AQ203" s="75"/>
      <c r="AR203" s="77"/>
      <c r="AS203" s="75"/>
      <c r="AT203" s="75">
        <v>2683928</v>
      </c>
      <c r="AU203" s="73"/>
      <c r="AV203" s="111"/>
      <c r="AW203" s="79"/>
      <c r="AX203" s="125"/>
      <c r="AY203" s="80"/>
      <c r="AZ203" s="124"/>
      <c r="BA203" s="124"/>
      <c r="BB203" s="124"/>
    </row>
    <row r="204" spans="1:55" x14ac:dyDescent="0.25">
      <c r="A204" s="8" t="s">
        <v>433</v>
      </c>
      <c r="B204" s="8" t="s">
        <v>443</v>
      </c>
      <c r="C204" s="18" t="s">
        <v>562</v>
      </c>
      <c r="D204" s="73" t="s">
        <v>527</v>
      </c>
      <c r="E204" s="73" t="s">
        <v>251</v>
      </c>
      <c r="F204" s="142">
        <v>1</v>
      </c>
      <c r="G204" s="74">
        <f>4135263*2</f>
        <v>8270526</v>
      </c>
      <c r="H204" s="74"/>
      <c r="I204" s="75">
        <v>130334</v>
      </c>
      <c r="J204" s="74">
        <v>122940400</v>
      </c>
      <c r="K204" s="76">
        <f t="shared" si="26"/>
        <v>122940400</v>
      </c>
      <c r="L204" s="75"/>
      <c r="M204" s="76"/>
      <c r="N204" s="73"/>
      <c r="O204" s="77"/>
      <c r="P204" s="75"/>
      <c r="Q204" s="77"/>
      <c r="R204" s="75"/>
      <c r="S204" s="76"/>
      <c r="T204" s="75"/>
      <c r="U204" s="75"/>
      <c r="V204" s="75"/>
      <c r="W204" s="75"/>
      <c r="X204" s="75"/>
      <c r="Y204" s="77"/>
      <c r="Z204" s="75"/>
      <c r="AA204" s="77"/>
      <c r="AB204" s="75"/>
      <c r="AC204" s="77"/>
      <c r="AD204" s="75"/>
      <c r="AE204" s="75"/>
      <c r="AF204" s="75">
        <v>10015121</v>
      </c>
      <c r="AG204" s="76"/>
      <c r="AH204" s="75">
        <v>94367094</v>
      </c>
      <c r="AI204" s="75"/>
      <c r="AJ204" s="82">
        <v>12695894</v>
      </c>
      <c r="AK204" s="76"/>
      <c r="AL204" s="82">
        <v>6452494</v>
      </c>
      <c r="AM204" s="76"/>
      <c r="AN204" s="75">
        <v>19875184</v>
      </c>
      <c r="AO204" s="76"/>
      <c r="AP204" s="75"/>
      <c r="AQ204" s="75"/>
      <c r="AR204" s="77"/>
      <c r="AS204" s="75"/>
      <c r="AT204" s="75">
        <v>28573306</v>
      </c>
      <c r="AU204" s="73"/>
      <c r="AV204" s="111"/>
      <c r="AW204" s="79"/>
      <c r="AX204" s="125"/>
      <c r="AY204" s="80"/>
      <c r="AZ204" s="124"/>
      <c r="BA204" s="124"/>
      <c r="BB204" s="124"/>
    </row>
    <row r="205" spans="1:55" ht="17.25" customHeight="1" x14ac:dyDescent="0.25">
      <c r="A205" s="8" t="s">
        <v>444</v>
      </c>
      <c r="B205" s="8" t="s">
        <v>445</v>
      </c>
      <c r="C205" s="18" t="s">
        <v>446</v>
      </c>
      <c r="D205" s="8" t="s">
        <v>66</v>
      </c>
      <c r="E205" s="8" t="s">
        <v>251</v>
      </c>
      <c r="F205" s="42">
        <v>1</v>
      </c>
      <c r="G205" s="10">
        <v>2900000</v>
      </c>
      <c r="H205" s="10"/>
      <c r="I205" s="12"/>
      <c r="J205" s="10">
        <v>11377544.710000001</v>
      </c>
      <c r="K205" s="11">
        <f t="shared" si="26"/>
        <v>11377544.710000001</v>
      </c>
      <c r="L205" s="12">
        <f>P205</f>
        <v>7590000</v>
      </c>
      <c r="M205" s="11">
        <f>F205*L205</f>
        <v>7590000</v>
      </c>
      <c r="N205" s="12"/>
      <c r="O205" s="13"/>
      <c r="P205" s="12">
        <f>6700000+890000</f>
        <v>7590000</v>
      </c>
      <c r="Q205" s="13">
        <f t="shared" si="28"/>
        <v>7590000</v>
      </c>
      <c r="R205" s="12">
        <f>J205-L205</f>
        <v>3787544.7100000009</v>
      </c>
      <c r="S205" s="11">
        <f t="shared" si="29"/>
        <v>3787544.7100000009</v>
      </c>
      <c r="T205" s="12"/>
      <c r="U205" s="12"/>
      <c r="V205" s="12"/>
      <c r="W205" s="12"/>
      <c r="X205" s="12"/>
      <c r="Y205" s="12"/>
      <c r="Z205" s="12"/>
      <c r="AA205" s="12"/>
      <c r="AB205" s="12"/>
      <c r="AC205" s="12"/>
      <c r="AD205" s="12"/>
      <c r="AE205" s="12"/>
      <c r="AF205" s="12"/>
      <c r="AG205" s="12"/>
      <c r="AJ205" s="26"/>
      <c r="AL205" s="26"/>
      <c r="AN205" s="12"/>
      <c r="AO205" s="12"/>
      <c r="AP205" s="12"/>
      <c r="AQ205" s="12"/>
      <c r="AR205" s="13"/>
      <c r="AT205" s="12"/>
      <c r="AV205" s="26"/>
      <c r="AW205" s="16"/>
      <c r="AX205" s="121"/>
      <c r="AY205" s="17"/>
      <c r="AZ205" s="119"/>
      <c r="BA205" s="119"/>
      <c r="BB205" s="119"/>
    </row>
    <row r="206" spans="1:55" x14ac:dyDescent="0.25">
      <c r="A206" s="8" t="s">
        <v>444</v>
      </c>
      <c r="B206" s="8" t="s">
        <v>447</v>
      </c>
      <c r="C206" s="18" t="s">
        <v>448</v>
      </c>
      <c r="D206" s="8" t="s">
        <v>83</v>
      </c>
      <c r="E206" s="8" t="s">
        <v>449</v>
      </c>
      <c r="F206" s="8">
        <v>1</v>
      </c>
      <c r="G206" s="10">
        <v>15600000</v>
      </c>
      <c r="H206" s="10"/>
      <c r="I206" s="12">
        <v>145914</v>
      </c>
      <c r="J206" s="10">
        <v>233600000</v>
      </c>
      <c r="K206" s="11">
        <f t="shared" si="26"/>
        <v>233600000</v>
      </c>
      <c r="L206" s="12">
        <v>137900000</v>
      </c>
      <c r="M206" s="11">
        <f>F206*L206</f>
        <v>137900000</v>
      </c>
      <c r="N206" s="12"/>
      <c r="O206" s="13"/>
      <c r="P206" s="12"/>
      <c r="Q206" s="13">
        <f t="shared" si="28"/>
        <v>0</v>
      </c>
      <c r="R206" s="12">
        <v>95700000</v>
      </c>
      <c r="S206" s="11">
        <f t="shared" si="29"/>
        <v>95700000</v>
      </c>
      <c r="T206" s="12"/>
      <c r="U206" s="12"/>
      <c r="V206" s="12"/>
      <c r="W206" s="12"/>
      <c r="X206" s="12"/>
      <c r="Y206" s="12"/>
      <c r="Z206" s="12"/>
      <c r="AA206" s="12"/>
      <c r="AB206" s="12"/>
      <c r="AC206" s="12"/>
      <c r="AD206" s="12"/>
      <c r="AE206" s="12"/>
      <c r="AF206" s="12"/>
      <c r="AG206" s="12"/>
      <c r="AH206" s="12">
        <f>J206-AT206</f>
        <v>118851865</v>
      </c>
      <c r="AI206" s="12"/>
      <c r="AJ206" s="14"/>
      <c r="AK206" s="11"/>
      <c r="AL206" s="14"/>
      <c r="AM206" s="11"/>
      <c r="AN206" s="12">
        <v>35953261</v>
      </c>
      <c r="AO206" s="11">
        <f>AN206*F206</f>
        <v>35953261</v>
      </c>
      <c r="AP206" s="12"/>
      <c r="AQ206" s="12">
        <v>132800000</v>
      </c>
      <c r="AR206" s="13">
        <f>AQ206*F206</f>
        <v>132800000</v>
      </c>
      <c r="AS206" s="12">
        <v>18051865</v>
      </c>
      <c r="AT206" s="12">
        <f>AQ206-AS206</f>
        <v>114748135</v>
      </c>
      <c r="AU206" s="13">
        <f>AT206*F206</f>
        <v>114748135</v>
      </c>
      <c r="AV206" s="15">
        <v>65200000</v>
      </c>
      <c r="AW206" s="16">
        <f>AV206*F206</f>
        <v>65200000</v>
      </c>
      <c r="AX206" s="119"/>
      <c r="AY206" s="17"/>
      <c r="AZ206" s="119"/>
      <c r="BA206" s="119"/>
      <c r="BB206" s="119"/>
    </row>
    <row r="207" spans="1:55" x14ac:dyDescent="0.25">
      <c r="C207" s="143" t="s">
        <v>554</v>
      </c>
      <c r="D207" s="47" t="s">
        <v>527</v>
      </c>
      <c r="E207" s="96" t="s">
        <v>110</v>
      </c>
      <c r="F207" s="47"/>
      <c r="G207" s="48">
        <v>22100000</v>
      </c>
      <c r="H207" s="48"/>
      <c r="I207" s="50"/>
      <c r="J207" s="48">
        <v>358300000</v>
      </c>
      <c r="K207" s="49"/>
      <c r="L207" s="50">
        <v>70333987</v>
      </c>
      <c r="M207" s="49"/>
      <c r="N207" s="50"/>
      <c r="O207" s="51"/>
      <c r="P207" s="50">
        <v>26519489</v>
      </c>
      <c r="Q207" s="51"/>
      <c r="R207" s="50">
        <v>52606413</v>
      </c>
      <c r="S207" s="49"/>
      <c r="T207" s="50"/>
      <c r="U207" s="50"/>
      <c r="V207" s="50"/>
      <c r="W207" s="50"/>
      <c r="X207" s="50">
        <v>16147357</v>
      </c>
      <c r="Y207" s="50"/>
      <c r="Z207" s="50">
        <v>1523466</v>
      </c>
      <c r="AA207" s="50"/>
      <c r="AB207" s="50">
        <f>X207+Z207</f>
        <v>17670823</v>
      </c>
      <c r="AC207" s="50"/>
      <c r="AD207" s="50"/>
      <c r="AE207" s="50"/>
      <c r="AF207" s="50"/>
      <c r="AG207" s="50"/>
      <c r="AH207" s="50"/>
      <c r="AI207" s="50"/>
      <c r="AJ207" s="52"/>
      <c r="AK207" s="49"/>
      <c r="AL207" s="52"/>
      <c r="AM207" s="49"/>
      <c r="AN207" s="50"/>
      <c r="AO207" s="49"/>
      <c r="AP207" s="50"/>
      <c r="AQ207" s="50">
        <v>119600000</v>
      </c>
      <c r="AR207" s="51"/>
      <c r="AS207" s="50"/>
      <c r="AT207" s="50"/>
      <c r="AU207" s="51"/>
      <c r="AV207" s="56">
        <v>23200000</v>
      </c>
      <c r="AW207" s="53"/>
      <c r="AX207" s="120">
        <f>(175+390.7)*1000000</f>
        <v>565700000</v>
      </c>
      <c r="AY207" s="55"/>
      <c r="AZ207" s="120">
        <f>(AX207+(354.1+111.5)*1000000)/2</f>
        <v>515650000</v>
      </c>
      <c r="BA207" s="120">
        <v>88200000</v>
      </c>
      <c r="BB207" s="120">
        <v>115900000</v>
      </c>
    </row>
    <row r="208" spans="1:55" x14ac:dyDescent="0.25">
      <c r="A208" s="8" t="s">
        <v>444</v>
      </c>
      <c r="B208" s="8" t="s">
        <v>450</v>
      </c>
      <c r="C208" s="18" t="s">
        <v>451</v>
      </c>
      <c r="D208" s="8" t="s">
        <v>83</v>
      </c>
      <c r="E208" s="8" t="s">
        <v>452</v>
      </c>
      <c r="F208" s="43">
        <v>0.30674271739999998</v>
      </c>
      <c r="G208" s="10">
        <v>30663545</v>
      </c>
      <c r="H208" s="10"/>
      <c r="I208" s="12">
        <v>414629</v>
      </c>
      <c r="J208" s="10">
        <v>394685088</v>
      </c>
      <c r="K208" s="11">
        <f t="shared" si="26"/>
        <v>121066776.41037813</v>
      </c>
      <c r="M208" s="11"/>
      <c r="N208" s="12"/>
      <c r="O208" s="13"/>
      <c r="P208" s="12"/>
      <c r="Q208" s="13"/>
      <c r="R208" s="12"/>
      <c r="S208" s="11"/>
      <c r="T208" s="12"/>
      <c r="U208" s="12"/>
      <c r="V208" s="12"/>
      <c r="W208" s="12"/>
      <c r="Z208" s="12"/>
      <c r="AA208" s="12"/>
      <c r="AB208" s="12"/>
      <c r="AC208" s="12"/>
      <c r="AD208" s="12"/>
      <c r="AE208" s="12"/>
      <c r="AF208" s="12"/>
      <c r="AG208" s="12"/>
      <c r="AH208" s="12">
        <f>269859361+41452407</f>
        <v>311311768</v>
      </c>
      <c r="AI208" s="12"/>
      <c r="AJ208" s="14"/>
      <c r="AK208" s="11"/>
      <c r="AL208" s="14"/>
      <c r="AM208" s="11"/>
      <c r="AN208" s="12"/>
      <c r="AO208" s="12"/>
      <c r="AP208" s="12">
        <v>1384</v>
      </c>
      <c r="AQ208" s="12">
        <v>133000000</v>
      </c>
      <c r="AR208" s="13">
        <f>AQ208*F208</f>
        <v>40796781.4142</v>
      </c>
      <c r="AS208" s="12"/>
      <c r="AT208" s="12"/>
      <c r="AV208" s="26">
        <v>68429182</v>
      </c>
      <c r="AW208" s="16">
        <f>AV208*F208</f>
        <v>20990153.236139163</v>
      </c>
      <c r="AX208" s="119">
        <v>963414600</v>
      </c>
      <c r="AY208" s="17">
        <f>AX208*F208</f>
        <v>295520412.38683403</v>
      </c>
      <c r="AZ208" s="119"/>
      <c r="BA208" s="119"/>
      <c r="BB208" s="119"/>
    </row>
    <row r="209" spans="1:55" x14ac:dyDescent="0.25">
      <c r="A209" s="8" t="s">
        <v>444</v>
      </c>
      <c r="B209" s="8" t="s">
        <v>453</v>
      </c>
      <c r="C209" s="18" t="s">
        <v>454</v>
      </c>
      <c r="D209" s="73" t="s">
        <v>83</v>
      </c>
      <c r="E209" s="73" t="s">
        <v>455</v>
      </c>
      <c r="F209" s="73">
        <v>5.0665987599999997E-2</v>
      </c>
      <c r="G209" s="74">
        <v>47700547</v>
      </c>
      <c r="H209" s="74"/>
      <c r="I209" s="75">
        <v>449664</v>
      </c>
      <c r="J209" s="74">
        <v>13238302333</v>
      </c>
      <c r="K209" s="76">
        <f t="shared" si="26"/>
        <v>670731661.84882903</v>
      </c>
      <c r="L209" s="75">
        <f>8485679929+1710419046</f>
        <v>10196098975</v>
      </c>
      <c r="M209" s="76">
        <f>F209*L209</f>
        <v>516595424.23572266</v>
      </c>
      <c r="N209" s="75"/>
      <c r="O209" s="77"/>
      <c r="P209" s="75"/>
      <c r="Q209" s="77">
        <f t="shared" si="28"/>
        <v>0</v>
      </c>
      <c r="R209" s="75">
        <f>J209-L209</f>
        <v>3042203358</v>
      </c>
      <c r="S209" s="76">
        <f t="shared" si="29"/>
        <v>154136237.61310634</v>
      </c>
      <c r="T209" s="75"/>
      <c r="U209" s="75"/>
      <c r="V209" s="75"/>
      <c r="W209" s="75"/>
      <c r="X209" s="75"/>
      <c r="Y209" s="75"/>
      <c r="Z209" s="75"/>
      <c r="AA209" s="75"/>
      <c r="AB209" s="75"/>
      <c r="AC209" s="75"/>
      <c r="AD209" s="75"/>
      <c r="AE209" s="75"/>
      <c r="AF209" s="75"/>
      <c r="AG209" s="75"/>
      <c r="AH209" s="75">
        <f>7336653176+AS209</f>
        <v>8409059445</v>
      </c>
      <c r="AI209" s="75"/>
      <c r="AJ209" s="82"/>
      <c r="AK209" s="76"/>
      <c r="AL209" s="82"/>
      <c r="AM209" s="76"/>
      <c r="AN209" s="75">
        <v>482725994</v>
      </c>
      <c r="AO209" s="76">
        <f>AN209*F209</f>
        <v>24457789.226201672</v>
      </c>
      <c r="AP209" s="75"/>
      <c r="AQ209" s="75">
        <f>AS209+AT209</f>
        <v>5901649157</v>
      </c>
      <c r="AR209" s="77">
        <f>AQ209*F209</f>
        <v>299012883.00811243</v>
      </c>
      <c r="AS209" s="75">
        <v>1072406269</v>
      </c>
      <c r="AT209" s="75">
        <f>J209-AH209</f>
        <v>4829242888</v>
      </c>
      <c r="AU209" s="77">
        <f>AT209*F209</f>
        <v>244678360.28079617</v>
      </c>
      <c r="AV209" s="75">
        <v>-980106933</v>
      </c>
      <c r="AW209" s="79"/>
      <c r="AX209" s="125">
        <v>5759600312</v>
      </c>
      <c r="AY209" s="80">
        <f>AX209*F209</f>
        <v>291815837.98874813</v>
      </c>
      <c r="AZ209" s="124">
        <f>(AX209+6415364446)/2</f>
        <v>6087482379</v>
      </c>
      <c r="BA209" s="124">
        <v>2728795269</v>
      </c>
      <c r="BB209" s="124">
        <v>-980106933</v>
      </c>
    </row>
    <row r="210" spans="1:55" x14ac:dyDescent="0.25">
      <c r="A210" s="8" t="s">
        <v>444</v>
      </c>
      <c r="B210" s="8" t="s">
        <v>453</v>
      </c>
      <c r="C210" s="18" t="s">
        <v>456</v>
      </c>
      <c r="D210" s="73" t="s">
        <v>527</v>
      </c>
      <c r="E210" s="73" t="s">
        <v>251</v>
      </c>
      <c r="F210" s="73">
        <v>1</v>
      </c>
      <c r="G210" s="74">
        <v>52269000</v>
      </c>
      <c r="H210" s="74"/>
      <c r="I210" s="75">
        <v>342000</v>
      </c>
      <c r="J210" s="74">
        <v>784835000</v>
      </c>
      <c r="K210" s="76">
        <f t="shared" si="26"/>
        <v>784835000</v>
      </c>
      <c r="L210" s="74">
        <v>455458000</v>
      </c>
      <c r="M210" s="76"/>
      <c r="N210" s="75"/>
      <c r="O210" s="77"/>
      <c r="P210" s="75"/>
      <c r="Q210" s="77"/>
      <c r="R210" s="75">
        <v>281719000</v>
      </c>
      <c r="S210" s="76"/>
      <c r="T210" s="75"/>
      <c r="U210" s="75">
        <f>1861.1*1000000/19.635</f>
        <v>94784823.020117134</v>
      </c>
      <c r="V210" s="84"/>
      <c r="W210" s="75">
        <f>621800000/19.635</f>
        <v>31667939.90323402</v>
      </c>
      <c r="X210" s="75">
        <f>(W210+U210)</f>
        <v>126452762.92335115</v>
      </c>
      <c r="Y210" s="77"/>
      <c r="Z210" s="75">
        <f>738.4*1000000/19.635</f>
        <v>37606315.253374077</v>
      </c>
      <c r="AA210" s="77"/>
      <c r="AB210" s="75">
        <f>Z210+W210+U210</f>
        <v>164059078.17672524</v>
      </c>
      <c r="AC210" s="77">
        <f>AB210+X210</f>
        <v>290511841.10007638</v>
      </c>
      <c r="AD210" s="75">
        <f>161200000/19.635</f>
        <v>8209829.3862999743</v>
      </c>
      <c r="AE210" s="77"/>
      <c r="AF210" s="75">
        <f>298500000/19.635</f>
        <v>15202444.614209319</v>
      </c>
      <c r="AG210" s="76"/>
      <c r="AH210" s="75">
        <v>395514000</v>
      </c>
      <c r="AI210" s="75"/>
      <c r="AJ210" s="75">
        <f>486.3*1000000/19.635</f>
        <v>24766997.708174177</v>
      </c>
      <c r="AK210" s="76"/>
      <c r="AL210" s="75">
        <f>807.2*1000000/19.635</f>
        <v>41110262.286732875</v>
      </c>
      <c r="AM210" s="76"/>
      <c r="AN210" s="75">
        <f>807.1*1000000/19.635</f>
        <v>41105169.340463452</v>
      </c>
      <c r="AO210" s="76">
        <f>AN210*F210</f>
        <v>41105169.340463452</v>
      </c>
      <c r="AP210" s="75"/>
      <c r="AQ210" s="75"/>
      <c r="AR210" s="77"/>
      <c r="AS210" s="75"/>
      <c r="AT210" s="75">
        <v>396179000</v>
      </c>
      <c r="AU210" s="77"/>
      <c r="AV210" s="75">
        <v>260749000</v>
      </c>
      <c r="AW210" s="79"/>
      <c r="AX210" s="124">
        <v>2861310000</v>
      </c>
      <c r="AY210" s="80"/>
      <c r="AZ210" s="124">
        <f>(56614103000*0.05+AX210)/2</f>
        <v>2846007575</v>
      </c>
      <c r="BA210" s="124">
        <v>122649000</v>
      </c>
      <c r="BB210" s="124">
        <v>391969000</v>
      </c>
      <c r="BC210" s="37" t="s">
        <v>457</v>
      </c>
    </row>
    <row r="211" spans="1:55" x14ac:dyDescent="0.25">
      <c r="A211" s="8" t="s">
        <v>444</v>
      </c>
      <c r="B211" s="8" t="s">
        <v>453</v>
      </c>
      <c r="C211" s="44" t="s">
        <v>458</v>
      </c>
      <c r="D211" s="73" t="s">
        <v>533</v>
      </c>
      <c r="E211" s="73" t="s">
        <v>455</v>
      </c>
      <c r="F211" s="73">
        <v>5.0665987599999997E-2</v>
      </c>
      <c r="G211" s="74">
        <v>21681492</v>
      </c>
      <c r="H211" s="74"/>
      <c r="I211" s="75">
        <v>345350</v>
      </c>
      <c r="J211" s="74">
        <v>7907054000</v>
      </c>
      <c r="K211" s="76">
        <f t="shared" si="26"/>
        <v>400618699.91653037</v>
      </c>
      <c r="L211" s="75">
        <v>5140052000</v>
      </c>
      <c r="M211" s="76"/>
      <c r="N211" s="75"/>
      <c r="O211" s="77"/>
      <c r="P211" s="75"/>
      <c r="Q211" s="77"/>
      <c r="R211" s="75">
        <v>1625497000</v>
      </c>
      <c r="S211" s="76"/>
      <c r="T211" s="75"/>
      <c r="U211" s="75"/>
      <c r="V211" s="75"/>
      <c r="W211" s="75"/>
      <c r="X211" s="75">
        <v>114418000</v>
      </c>
      <c r="Y211" s="77"/>
      <c r="Z211" s="75">
        <v>120128000</v>
      </c>
      <c r="AA211" s="77"/>
      <c r="AB211" s="75">
        <f>X211+Z211</f>
        <v>234546000</v>
      </c>
      <c r="AC211" s="77"/>
      <c r="AD211" s="75">
        <v>68475000</v>
      </c>
      <c r="AE211" s="77"/>
      <c r="AF211" s="75">
        <v>244461000</v>
      </c>
      <c r="AG211" s="76"/>
      <c r="AH211" s="75">
        <v>3774518000</v>
      </c>
      <c r="AI211" s="75"/>
      <c r="AJ211" s="82">
        <v>210158000</v>
      </c>
      <c r="AK211" s="76"/>
      <c r="AL211" s="82">
        <v>152583000</v>
      </c>
      <c r="AM211" s="76"/>
      <c r="AN211" s="75">
        <v>231753000</v>
      </c>
      <c r="AO211" s="76"/>
      <c r="AP211" s="75"/>
      <c r="AQ211" s="75"/>
      <c r="AR211" s="77"/>
      <c r="AS211" s="75"/>
      <c r="AT211" s="75">
        <v>4132536000</v>
      </c>
      <c r="AU211" s="77"/>
      <c r="AV211" s="78">
        <v>2864179000</v>
      </c>
      <c r="AW211" s="79"/>
      <c r="AX211" s="124">
        <v>15590484000</v>
      </c>
      <c r="AY211" s="80"/>
      <c r="AZ211" s="124">
        <f>(AX211+14200800000)/2</f>
        <v>14895642000</v>
      </c>
      <c r="BA211" s="124">
        <v>1224716000</v>
      </c>
      <c r="BB211" s="124">
        <v>3709346000</v>
      </c>
      <c r="BC211" s="37" t="s">
        <v>459</v>
      </c>
    </row>
    <row r="212" spans="1:55" x14ac:dyDescent="0.25">
      <c r="A212" s="8" t="s">
        <v>444</v>
      </c>
      <c r="B212" s="8" t="s">
        <v>453</v>
      </c>
      <c r="C212" s="18" t="s">
        <v>460</v>
      </c>
      <c r="D212" s="73" t="s">
        <v>527</v>
      </c>
      <c r="E212" s="73" t="s">
        <v>455</v>
      </c>
      <c r="F212" s="73">
        <v>5.0665987599999997E-2</v>
      </c>
      <c r="G212" s="74">
        <v>44948000</v>
      </c>
      <c r="H212" s="74"/>
      <c r="I212" s="75">
        <v>552000</v>
      </c>
      <c r="J212" s="74">
        <v>14122890000</v>
      </c>
      <c r="K212" s="76">
        <f t="shared" si="26"/>
        <v>715550169.61616397</v>
      </c>
      <c r="L212" s="74">
        <v>9499154000</v>
      </c>
      <c r="M212" s="76"/>
      <c r="N212" s="75"/>
      <c r="O212" s="77"/>
      <c r="P212" s="75"/>
      <c r="Q212" s="77"/>
      <c r="R212" s="75">
        <v>3183532000</v>
      </c>
      <c r="S212" s="76"/>
      <c r="T212" s="75"/>
      <c r="U212" s="75">
        <v>468300000</v>
      </c>
      <c r="V212" s="84"/>
      <c r="W212" s="75">
        <v>345000000</v>
      </c>
      <c r="X212" s="75">
        <f>W212+U212</f>
        <v>813300000</v>
      </c>
      <c r="Y212" s="77"/>
      <c r="Z212" s="75">
        <v>337000000</v>
      </c>
      <c r="AA212" s="77"/>
      <c r="AB212" s="75">
        <f>X212+Z212</f>
        <v>1150300000</v>
      </c>
      <c r="AC212" s="77"/>
      <c r="AD212" s="75">
        <v>177900000</v>
      </c>
      <c r="AE212" s="77"/>
      <c r="AF212" s="75">
        <v>320600000</v>
      </c>
      <c r="AG212" s="76"/>
      <c r="AH212" s="75">
        <v>6878238000</v>
      </c>
      <c r="AI212" s="75"/>
      <c r="AJ212" s="82">
        <v>335000000</v>
      </c>
      <c r="AK212" s="76"/>
      <c r="AL212" s="82">
        <v>528900000</v>
      </c>
      <c r="AM212" s="76"/>
      <c r="AN212" s="75">
        <v>773600000</v>
      </c>
      <c r="AO212" s="76"/>
      <c r="AP212" s="75"/>
      <c r="AQ212" s="75"/>
      <c r="AR212" s="77"/>
      <c r="AS212" s="75"/>
      <c r="AT212" s="75">
        <v>7244652000</v>
      </c>
      <c r="AU212" s="77"/>
      <c r="AV212" s="78">
        <v>5034901</v>
      </c>
      <c r="AW212" s="79"/>
      <c r="AX212" s="124">
        <v>39550502000</v>
      </c>
      <c r="AY212" s="80"/>
      <c r="AZ212" s="124">
        <f>(39517532000+AX212)/2</f>
        <v>39534017000</v>
      </c>
      <c r="BA212" s="124">
        <v>2172523000</v>
      </c>
      <c r="BB212" s="124">
        <v>7235619000</v>
      </c>
      <c r="BC212" s="37" t="s">
        <v>459</v>
      </c>
    </row>
    <row r="213" spans="1:55" x14ac:dyDescent="0.25">
      <c r="A213" s="8" t="s">
        <v>444</v>
      </c>
      <c r="B213" s="8" t="s">
        <v>461</v>
      </c>
      <c r="C213" s="18" t="s">
        <v>462</v>
      </c>
      <c r="D213" s="73" t="s">
        <v>527</v>
      </c>
      <c r="E213" s="73" t="s">
        <v>463</v>
      </c>
      <c r="F213" s="73">
        <v>5.3711535599999999E-2</v>
      </c>
      <c r="G213" s="74">
        <v>38350466</v>
      </c>
      <c r="H213" s="74"/>
      <c r="I213" s="75">
        <v>429466</v>
      </c>
      <c r="J213" s="74">
        <v>24097584102</v>
      </c>
      <c r="K213" s="76">
        <f t="shared" si="26"/>
        <v>1294318246.368567</v>
      </c>
      <c r="L213" s="75">
        <v>14064118872</v>
      </c>
      <c r="M213" s="76"/>
      <c r="N213" s="75"/>
      <c r="O213" s="77"/>
      <c r="P213" s="75"/>
      <c r="Q213" s="77"/>
      <c r="R213" s="75">
        <v>10033465230</v>
      </c>
      <c r="S213" s="76"/>
      <c r="T213" s="75"/>
      <c r="U213" s="75"/>
      <c r="V213" s="75"/>
      <c r="W213" s="75"/>
      <c r="X213" s="75"/>
      <c r="Y213" s="77"/>
      <c r="Z213" s="75"/>
      <c r="AA213" s="77"/>
      <c r="AB213" s="75"/>
      <c r="AC213" s="75"/>
      <c r="AD213" s="75"/>
      <c r="AE213" s="75"/>
      <c r="AF213" s="75"/>
      <c r="AG213" s="75"/>
      <c r="AH213" s="75">
        <v>17183268375</v>
      </c>
      <c r="AI213" s="75"/>
      <c r="AJ213" s="78"/>
      <c r="AK213" s="76"/>
      <c r="AL213" s="78"/>
      <c r="AM213" s="76"/>
      <c r="AN213" s="75">
        <v>3659427608</v>
      </c>
      <c r="AO213" s="76"/>
      <c r="AP213" s="75"/>
      <c r="AQ213" s="75">
        <v>10272114501</v>
      </c>
      <c r="AR213" s="77"/>
      <c r="AS213" s="75"/>
      <c r="AT213" s="75">
        <v>7464400959</v>
      </c>
      <c r="AU213" s="77"/>
      <c r="AV213" s="78">
        <v>1023716997</v>
      </c>
      <c r="AW213" s="79"/>
      <c r="AX213" s="124">
        <v>4889428316</v>
      </c>
      <c r="AY213" s="80"/>
      <c r="AZ213" s="124">
        <f>(3480088519+AX213)/2</f>
        <v>4184758417.5</v>
      </c>
      <c r="BA213" s="124">
        <v>2019260794</v>
      </c>
      <c r="BB213" s="124">
        <v>1080628694</v>
      </c>
      <c r="BC213" s="37"/>
    </row>
    <row r="214" spans="1:55" x14ac:dyDescent="0.25">
      <c r="A214" s="8" t="s">
        <v>444</v>
      </c>
      <c r="B214" s="8" t="s">
        <v>464</v>
      </c>
      <c r="C214" s="18" t="s">
        <v>465</v>
      </c>
      <c r="D214" s="73" t="s">
        <v>527</v>
      </c>
      <c r="E214" s="73" t="s">
        <v>466</v>
      </c>
      <c r="F214" s="73">
        <v>0.30189521489999999</v>
      </c>
      <c r="G214" s="74"/>
      <c r="H214" s="74"/>
      <c r="I214" s="75"/>
      <c r="J214" s="74">
        <v>693267000</v>
      </c>
      <c r="K214" s="76">
        <f t="shared" si="26"/>
        <v>209293989.9480783</v>
      </c>
      <c r="L214" s="75"/>
      <c r="M214" s="76"/>
      <c r="N214" s="75"/>
      <c r="O214" s="77"/>
      <c r="P214" s="75"/>
      <c r="Q214" s="77"/>
      <c r="R214" s="75"/>
      <c r="S214" s="76"/>
      <c r="T214" s="75"/>
      <c r="U214" s="75"/>
      <c r="V214" s="75"/>
      <c r="W214" s="75"/>
      <c r="X214" s="75"/>
      <c r="Y214" s="77"/>
      <c r="Z214" s="75"/>
      <c r="AA214" s="77"/>
      <c r="AB214" s="75"/>
      <c r="AC214" s="75"/>
      <c r="AD214" s="75">
        <v>1685000</v>
      </c>
      <c r="AE214" s="77"/>
      <c r="AF214" s="75">
        <v>8727000</v>
      </c>
      <c r="AG214" s="76"/>
      <c r="AH214" s="75">
        <v>129174000</v>
      </c>
      <c r="AI214" s="75"/>
      <c r="AJ214" s="82">
        <f>(5469+6250)*1000</f>
        <v>11719000</v>
      </c>
      <c r="AK214" s="76"/>
      <c r="AL214" s="82"/>
      <c r="AM214" s="76"/>
      <c r="AN214" s="75">
        <f>(69700+21870)*1000</f>
        <v>91570000</v>
      </c>
      <c r="AO214" s="76"/>
      <c r="AP214" s="75"/>
      <c r="AQ214" s="75"/>
      <c r="AR214" s="77"/>
      <c r="AS214" s="75"/>
      <c r="AT214" s="78">
        <v>129174000</v>
      </c>
      <c r="AU214" s="77"/>
      <c r="AV214" s="78">
        <v>-407583000</v>
      </c>
      <c r="AW214" s="79"/>
      <c r="AX214" s="124">
        <v>5947343000</v>
      </c>
      <c r="AY214" s="80"/>
      <c r="AZ214" s="124">
        <f>(AX214+6209111000)/2</f>
        <v>6078227000</v>
      </c>
      <c r="BA214" s="124">
        <v>3213479000</v>
      </c>
      <c r="BB214" s="124">
        <v>-407583000</v>
      </c>
      <c r="BC214" s="37"/>
    </row>
    <row r="215" spans="1:55" x14ac:dyDescent="0.25">
      <c r="A215" s="8" t="s">
        <v>444</v>
      </c>
      <c r="B215" s="8" t="s">
        <v>464</v>
      </c>
      <c r="C215" s="18" t="s">
        <v>467</v>
      </c>
      <c r="D215" s="8" t="s">
        <v>66</v>
      </c>
      <c r="E215" s="8" t="s">
        <v>466</v>
      </c>
      <c r="F215" s="8">
        <v>0.30720078639999998</v>
      </c>
      <c r="G215" s="10">
        <v>36600000</v>
      </c>
      <c r="H215" s="10"/>
      <c r="I215" s="12">
        <v>267800</v>
      </c>
      <c r="J215" s="10">
        <v>1881000000</v>
      </c>
      <c r="K215" s="11">
        <f t="shared" si="26"/>
        <v>577844679.2184</v>
      </c>
      <c r="L215" s="12">
        <v>970000000</v>
      </c>
      <c r="M215" s="11">
        <f>F215*L215</f>
        <v>297984762.80799997</v>
      </c>
      <c r="N215" s="12"/>
      <c r="O215" s="13"/>
      <c r="P215" s="12"/>
      <c r="Q215" s="13">
        <f t="shared" si="28"/>
        <v>0</v>
      </c>
      <c r="R215" s="12">
        <v>911400000</v>
      </c>
      <c r="S215" s="11">
        <f t="shared" si="29"/>
        <v>279982796.72495997</v>
      </c>
      <c r="T215" s="12"/>
      <c r="U215" s="12"/>
      <c r="V215" s="12"/>
      <c r="W215" s="10"/>
      <c r="X215" s="12"/>
      <c r="Y215" s="13"/>
      <c r="Z215" s="12"/>
      <c r="AA215" s="13"/>
      <c r="AB215" s="12">
        <f>58%*R215</f>
        <v>528611999.99999994</v>
      </c>
      <c r="AC215" s="13">
        <f>AB215*F215</f>
        <v>162390022.10047677</v>
      </c>
      <c r="AD215" s="12">
        <f>7%*R215</f>
        <v>63798000.000000007</v>
      </c>
      <c r="AE215" s="13">
        <f>AD215*F215</f>
        <v>19598795.7707472</v>
      </c>
      <c r="AF215" s="12">
        <f>10%*R215</f>
        <v>91140000</v>
      </c>
      <c r="AG215" s="11">
        <f>AF215*F215</f>
        <v>27998279.672495998</v>
      </c>
      <c r="AH215" s="12"/>
      <c r="AI215" s="12"/>
      <c r="AJ215" s="14"/>
      <c r="AK215" s="11"/>
      <c r="AL215" s="14"/>
      <c r="AM215" s="11"/>
      <c r="AN215" s="12">
        <v>161200000</v>
      </c>
      <c r="AO215" s="11">
        <f>AN215*F215</f>
        <v>49520766.767679997</v>
      </c>
      <c r="AP215" s="12"/>
      <c r="AQ215" s="12">
        <v>978900000</v>
      </c>
      <c r="AR215" s="13">
        <f>AQ215*F215</f>
        <v>300718849.80695999</v>
      </c>
      <c r="AS215" s="12"/>
      <c r="AT215" s="19"/>
      <c r="AU215" s="13"/>
      <c r="AV215" s="15">
        <v>-694700000</v>
      </c>
      <c r="AW215" s="16">
        <f t="shared" ref="AW215:AW221" si="35">AV215*F215</f>
        <v>-213412386.31208</v>
      </c>
      <c r="AX215" s="127"/>
      <c r="AY215" s="17"/>
      <c r="AZ215" s="119"/>
      <c r="BA215" s="119"/>
      <c r="BB215" s="119"/>
      <c r="BC215" s="37"/>
    </row>
    <row r="216" spans="1:55" x14ac:dyDescent="0.25">
      <c r="A216" s="8" t="s">
        <v>444</v>
      </c>
      <c r="B216" s="8" t="s">
        <v>464</v>
      </c>
      <c r="C216" s="18" t="s">
        <v>468</v>
      </c>
      <c r="D216" s="73" t="s">
        <v>0</v>
      </c>
      <c r="E216" s="73" t="s">
        <v>466</v>
      </c>
      <c r="F216" s="73">
        <v>0.30720078639999998</v>
      </c>
      <c r="G216" s="74">
        <v>42200000</v>
      </c>
      <c r="H216" s="74"/>
      <c r="I216" s="75"/>
      <c r="J216" s="74">
        <v>2313700000</v>
      </c>
      <c r="K216" s="76">
        <f t="shared" si="26"/>
        <v>710770459.49368</v>
      </c>
      <c r="L216" s="75">
        <v>1323600000</v>
      </c>
      <c r="M216" s="76"/>
      <c r="N216" s="75"/>
      <c r="O216" s="77"/>
      <c r="P216" s="75"/>
      <c r="Q216" s="77"/>
      <c r="R216" s="75">
        <v>990200000</v>
      </c>
      <c r="S216" s="76"/>
      <c r="T216" s="75"/>
      <c r="U216" s="75"/>
      <c r="V216" s="75"/>
      <c r="W216" s="74"/>
      <c r="X216" s="75"/>
      <c r="Y216" s="77"/>
      <c r="Z216" s="75"/>
      <c r="AA216" s="77"/>
      <c r="AB216" s="75"/>
      <c r="AC216" s="77"/>
      <c r="AD216" s="75"/>
      <c r="AE216" s="77"/>
      <c r="AF216" s="75"/>
      <c r="AG216" s="76"/>
      <c r="AH216" s="75">
        <v>407700000</v>
      </c>
      <c r="AI216" s="75"/>
      <c r="AJ216" s="78"/>
      <c r="AK216" s="76"/>
      <c r="AL216" s="78">
        <v>97500000</v>
      </c>
      <c r="AM216" s="76"/>
      <c r="AN216" s="75">
        <v>117100000</v>
      </c>
      <c r="AO216" s="76"/>
      <c r="AP216" s="75"/>
      <c r="AQ216" s="75">
        <v>1390200000</v>
      </c>
      <c r="AR216" s="77"/>
      <c r="AS216" s="75"/>
      <c r="AT216" s="78"/>
      <c r="AU216" s="77"/>
      <c r="AV216" s="78">
        <v>939600000</v>
      </c>
      <c r="AW216" s="79">
        <f t="shared" si="35"/>
        <v>288645858.90143996</v>
      </c>
      <c r="AX216" s="124">
        <v>16195618000</v>
      </c>
      <c r="AY216" s="80"/>
      <c r="AZ216" s="124">
        <f>(15983591000+AX216)/2</f>
        <v>16089604500</v>
      </c>
      <c r="BA216" s="124">
        <v>1997377000</v>
      </c>
      <c r="BB216" s="124">
        <v>1317189000</v>
      </c>
      <c r="BC216" s="37"/>
    </row>
    <row r="217" spans="1:55" x14ac:dyDescent="0.25">
      <c r="A217" s="8" t="s">
        <v>444</v>
      </c>
      <c r="B217" s="8" t="s">
        <v>464</v>
      </c>
      <c r="C217" s="18" t="s">
        <v>469</v>
      </c>
      <c r="D217" s="73" t="s">
        <v>83</v>
      </c>
      <c r="E217" s="73" t="s">
        <v>466</v>
      </c>
      <c r="F217" s="73">
        <v>0.30189521489999999</v>
      </c>
      <c r="G217" s="74">
        <v>10164000</v>
      </c>
      <c r="H217" s="74"/>
      <c r="I217" s="75"/>
      <c r="J217" s="74">
        <v>325654000</v>
      </c>
      <c r="K217" s="76">
        <f t="shared" si="26"/>
        <v>98313384.313044593</v>
      </c>
      <c r="L217" s="75">
        <v>190553000</v>
      </c>
      <c r="M217" s="76">
        <f>F217*L217</f>
        <v>57527038.884839699</v>
      </c>
      <c r="N217" s="75"/>
      <c r="O217" s="77"/>
      <c r="P217" s="75"/>
      <c r="Q217" s="77">
        <f t="shared" si="28"/>
        <v>0</v>
      </c>
      <c r="R217" s="75">
        <f>J217-L217</f>
        <v>135101000</v>
      </c>
      <c r="S217" s="76">
        <f t="shared" si="29"/>
        <v>40786345.428204902</v>
      </c>
      <c r="T217" s="75"/>
      <c r="U217" s="75"/>
      <c r="V217" s="75"/>
      <c r="W217" s="74"/>
      <c r="X217" s="75"/>
      <c r="Y217" s="77"/>
      <c r="Z217" s="75"/>
      <c r="AA217" s="77"/>
      <c r="AB217" s="75"/>
      <c r="AC217" s="77"/>
      <c r="AD217" s="75"/>
      <c r="AE217" s="77"/>
      <c r="AF217" s="75"/>
      <c r="AG217" s="76"/>
      <c r="AH217" s="75">
        <f>309063000+AS217</f>
        <v>342859000</v>
      </c>
      <c r="AI217" s="75"/>
      <c r="AJ217" s="82"/>
      <c r="AK217" s="76"/>
      <c r="AL217" s="82"/>
      <c r="AM217" s="76"/>
      <c r="AN217" s="75">
        <f>(35141+10403+2213+1161)*1000</f>
        <v>48918000</v>
      </c>
      <c r="AO217" s="76">
        <f>AN217*F217</f>
        <v>14768110.1224782</v>
      </c>
      <c r="AP217" s="75"/>
      <c r="AQ217" s="75">
        <f>AS217+AT217</f>
        <v>16591000</v>
      </c>
      <c r="AR217" s="77">
        <f>AQ217*F217</f>
        <v>5008743.5104059</v>
      </c>
      <c r="AS217" s="75">
        <f>29752000+4044000</f>
        <v>33796000</v>
      </c>
      <c r="AT217" s="75">
        <f>J217-AH217</f>
        <v>-17205000</v>
      </c>
      <c r="AU217" s="77">
        <f>AT217*F217</f>
        <v>-5194107.1723544998</v>
      </c>
      <c r="AV217" s="78">
        <v>-77189000</v>
      </c>
      <c r="AW217" s="79">
        <f t="shared" si="35"/>
        <v>-23302989.7429161</v>
      </c>
      <c r="AX217" s="124">
        <v>2434568000</v>
      </c>
      <c r="AY217" s="80">
        <f>AX217*F217</f>
        <v>734984429.54866314</v>
      </c>
      <c r="AZ217" s="124"/>
      <c r="BA217" s="124"/>
      <c r="BB217" s="124" t="s">
        <v>0</v>
      </c>
      <c r="BC217" s="37"/>
    </row>
    <row r="218" spans="1:55" x14ac:dyDescent="0.25">
      <c r="A218" s="8" t="s">
        <v>444</v>
      </c>
      <c r="B218" s="8" t="s">
        <v>464</v>
      </c>
      <c r="C218" s="18" t="s">
        <v>470</v>
      </c>
      <c r="D218" s="8" t="s">
        <v>83</v>
      </c>
      <c r="E218" s="8" t="s">
        <v>466</v>
      </c>
      <c r="F218" s="8">
        <v>0.30720078639999998</v>
      </c>
      <c r="G218" s="10">
        <v>108600000</v>
      </c>
      <c r="H218" s="10"/>
      <c r="I218" s="12">
        <v>1500000</v>
      </c>
      <c r="J218" s="10">
        <v>3088800000</v>
      </c>
      <c r="K218" s="11">
        <f t="shared" si="26"/>
        <v>948881789.0323199</v>
      </c>
      <c r="M218" s="11"/>
      <c r="N218" s="12"/>
      <c r="O218" s="13"/>
      <c r="P218" s="12"/>
      <c r="Q218" s="13">
        <f t="shared" si="28"/>
        <v>0</v>
      </c>
      <c r="R218" s="12"/>
      <c r="S218" s="11">
        <f t="shared" si="29"/>
        <v>0</v>
      </c>
      <c r="T218" s="12"/>
      <c r="U218" s="12"/>
      <c r="V218" s="12"/>
      <c r="W218" s="12"/>
      <c r="X218" s="12"/>
      <c r="Y218" s="13"/>
      <c r="Z218" s="12"/>
      <c r="AA218" s="13"/>
      <c r="AB218" s="12"/>
      <c r="AC218" s="13"/>
      <c r="AD218" s="12"/>
      <c r="AE218" s="13"/>
      <c r="AF218" s="12"/>
      <c r="AG218" s="11"/>
      <c r="AH218" s="12">
        <v>2520400000</v>
      </c>
      <c r="AI218" s="12"/>
      <c r="AJ218" s="15"/>
      <c r="AK218" s="11"/>
      <c r="AL218" s="15"/>
      <c r="AM218" s="11"/>
      <c r="AN218" s="12"/>
      <c r="AO218" s="12"/>
      <c r="AP218" s="12"/>
      <c r="AQ218" s="12">
        <v>552900000</v>
      </c>
      <c r="AR218" s="13">
        <f>AQ218*F218</f>
        <v>169851314.80056</v>
      </c>
      <c r="AS218" s="12"/>
      <c r="AT218" s="12">
        <f>J218-AH218</f>
        <v>568400000</v>
      </c>
      <c r="AU218" s="13">
        <f>AT218*F218</f>
        <v>174612926.98975998</v>
      </c>
      <c r="AV218" s="15">
        <v>461500000</v>
      </c>
      <c r="AW218" s="16">
        <f t="shared" si="35"/>
        <v>141773162.92359999</v>
      </c>
      <c r="AZ218" s="126"/>
      <c r="BA218" s="126"/>
      <c r="BB218" s="126"/>
      <c r="BC218" s="37"/>
    </row>
    <row r="219" spans="1:55" x14ac:dyDescent="0.25">
      <c r="A219" s="8" t="s">
        <v>444</v>
      </c>
      <c r="B219" s="8" t="s">
        <v>471</v>
      </c>
      <c r="C219" s="18" t="s">
        <v>472</v>
      </c>
      <c r="D219" s="73" t="s">
        <v>527</v>
      </c>
      <c r="E219" s="73" t="s">
        <v>473</v>
      </c>
      <c r="F219" s="73">
        <v>1.6249592999999999E-3</v>
      </c>
      <c r="G219" s="74">
        <v>23324306</v>
      </c>
      <c r="H219" s="74"/>
      <c r="I219" s="75">
        <v>155106</v>
      </c>
      <c r="J219" s="74">
        <v>205754379000</v>
      </c>
      <c r="K219" s="76">
        <f t="shared" si="26"/>
        <v>334342491.67177469</v>
      </c>
      <c r="L219" s="75">
        <v>147526989000</v>
      </c>
      <c r="M219" s="76"/>
      <c r="N219" s="75">
        <v>134357123000</v>
      </c>
      <c r="O219" s="77"/>
      <c r="P219" s="75"/>
      <c r="Q219" s="77"/>
      <c r="R219" s="75">
        <v>55840315000</v>
      </c>
      <c r="S219" s="76"/>
      <c r="T219" s="75"/>
      <c r="U219" s="75">
        <v>16656108000</v>
      </c>
      <c r="V219" s="84"/>
      <c r="W219" s="75"/>
      <c r="X219" s="75"/>
      <c r="Y219" s="75"/>
      <c r="Z219" s="73"/>
      <c r="AA219" s="73"/>
      <c r="AB219" s="75"/>
      <c r="AC219" s="75"/>
      <c r="AD219" s="75"/>
      <c r="AE219" s="77"/>
      <c r="AF219" s="75">
        <v>8123241000</v>
      </c>
      <c r="AG219" s="76">
        <f>AF219*F219</f>
        <v>13199936.009091299</v>
      </c>
      <c r="AH219" s="75">
        <f>(22564363+8947602)*1000</f>
        <v>31511965000</v>
      </c>
      <c r="AI219" s="75"/>
      <c r="AJ219" s="82"/>
      <c r="AK219" s="76"/>
      <c r="AL219" s="82"/>
      <c r="AM219" s="76"/>
      <c r="AN219" s="75">
        <f>(1952877+2906195)*1000</f>
        <v>4859072000</v>
      </c>
      <c r="AO219" s="76"/>
      <c r="AP219" s="75"/>
      <c r="AQ219" s="75"/>
      <c r="AR219" s="77"/>
      <c r="AS219" s="75"/>
      <c r="AT219" s="75"/>
      <c r="AU219" s="77"/>
      <c r="AV219" s="78">
        <v>-3066229000</v>
      </c>
      <c r="AW219" s="79">
        <f t="shared" si="35"/>
        <v>-4982497.3294797</v>
      </c>
      <c r="AX219" s="124">
        <v>561842896000</v>
      </c>
      <c r="AY219" s="80"/>
      <c r="AZ219" s="124">
        <f>(351426249000+AX219)/2</f>
        <v>456634572500</v>
      </c>
      <c r="BA219" s="138">
        <v>77798842000</v>
      </c>
      <c r="BB219" s="124">
        <v>-322850000</v>
      </c>
    </row>
    <row r="220" spans="1:55" x14ac:dyDescent="0.25">
      <c r="A220" s="8" t="s">
        <v>444</v>
      </c>
      <c r="B220" s="8" t="s">
        <v>471</v>
      </c>
      <c r="C220" s="18" t="s">
        <v>474</v>
      </c>
      <c r="D220" s="73" t="s">
        <v>527</v>
      </c>
      <c r="E220" s="73" t="s">
        <v>473</v>
      </c>
      <c r="F220" s="73">
        <v>1.6249592999999999E-3</v>
      </c>
      <c r="G220" s="74"/>
      <c r="H220" s="74"/>
      <c r="I220" s="75"/>
      <c r="J220" s="74">
        <v>7084543000</v>
      </c>
      <c r="K220" s="76">
        <f t="shared" si="26"/>
        <v>11512094.034099899</v>
      </c>
      <c r="L220" s="75">
        <v>5303181000</v>
      </c>
      <c r="M220" s="76"/>
      <c r="N220" s="75"/>
      <c r="O220" s="77"/>
      <c r="P220" s="75"/>
      <c r="Q220" s="77"/>
      <c r="R220" s="75">
        <f>J220-L220</f>
        <v>1781362000</v>
      </c>
      <c r="S220" s="76"/>
      <c r="T220" s="75"/>
      <c r="U220" s="75"/>
      <c r="V220" s="75"/>
      <c r="W220" s="75"/>
      <c r="X220" s="75"/>
      <c r="Y220" s="75"/>
      <c r="Z220" s="75"/>
      <c r="AA220" s="75"/>
      <c r="AB220" s="75"/>
      <c r="AC220" s="75"/>
      <c r="AD220" s="75"/>
      <c r="AE220" s="75"/>
      <c r="AF220" s="75"/>
      <c r="AG220" s="75"/>
      <c r="AH220" s="75">
        <f>(7022776+668859)*1000</f>
        <v>7691635000</v>
      </c>
      <c r="AI220" s="75"/>
      <c r="AJ220" s="82"/>
      <c r="AK220" s="76"/>
      <c r="AL220" s="82"/>
      <c r="AM220" s="76"/>
      <c r="AN220" s="75">
        <v>459348000</v>
      </c>
      <c r="AO220" s="76"/>
      <c r="AP220" s="75"/>
      <c r="AQ220" s="75"/>
      <c r="AR220" s="77"/>
      <c r="AS220" s="75"/>
      <c r="AT220" s="75">
        <f>J220-AH220</f>
        <v>-607092000</v>
      </c>
      <c r="AU220" s="77"/>
      <c r="AV220" s="78">
        <v>-642900000</v>
      </c>
      <c r="AW220" s="79">
        <f t="shared" si="35"/>
        <v>-1044686.3339699999</v>
      </c>
      <c r="AX220" s="124">
        <v>11531630000</v>
      </c>
      <c r="AY220" s="80"/>
      <c r="AZ220" s="124">
        <f>(18362637000+AX220)/2</f>
        <v>14947133500</v>
      </c>
      <c r="BA220" s="124">
        <v>8208954000</v>
      </c>
      <c r="BB220" s="124">
        <f>3167282000</f>
        <v>3167282000</v>
      </c>
    </row>
    <row r="221" spans="1:55" ht="19.5" customHeight="1" x14ac:dyDescent="0.25">
      <c r="A221" s="8" t="s">
        <v>444</v>
      </c>
      <c r="B221" s="8" t="s">
        <v>471</v>
      </c>
      <c r="C221" s="18" t="s">
        <v>475</v>
      </c>
      <c r="D221" s="73" t="s">
        <v>527</v>
      </c>
      <c r="E221" s="73" t="s">
        <v>473</v>
      </c>
      <c r="F221" s="73">
        <v>1.6249592999999999E-3</v>
      </c>
      <c r="G221" s="74">
        <f>2030700*2</f>
        <v>4061400</v>
      </c>
      <c r="H221" s="74"/>
      <c r="I221" s="75"/>
      <c r="J221" s="74">
        <v>2805248000</v>
      </c>
      <c r="K221" s="76">
        <f t="shared" si="26"/>
        <v>4558413.8264063997</v>
      </c>
      <c r="L221" s="75">
        <v>2030700000</v>
      </c>
      <c r="M221" s="76"/>
      <c r="N221" s="75"/>
      <c r="O221" s="77"/>
      <c r="P221" s="75"/>
      <c r="Q221" s="77"/>
      <c r="R221" s="75">
        <f>J221-L221</f>
        <v>774548000</v>
      </c>
      <c r="S221" s="76"/>
      <c r="T221" s="75"/>
      <c r="U221" s="75"/>
      <c r="V221" s="75"/>
      <c r="W221" s="75"/>
      <c r="X221" s="75"/>
      <c r="Y221" s="75"/>
      <c r="Z221" s="145">
        <v>28306000</v>
      </c>
      <c r="AA221" s="73"/>
      <c r="AB221" s="75"/>
      <c r="AC221" s="75"/>
      <c r="AD221" s="75"/>
      <c r="AE221" s="75"/>
      <c r="AF221" s="75">
        <v>501409000</v>
      </c>
      <c r="AG221" s="76"/>
      <c r="AH221" s="75">
        <f>(584733+181893)*1000</f>
        <v>766626000</v>
      </c>
      <c r="AI221" s="75"/>
      <c r="AJ221" s="82"/>
      <c r="AK221" s="76"/>
      <c r="AL221" s="82"/>
      <c r="AM221" s="76"/>
      <c r="AN221" s="75">
        <f>(161258+75389)*1000</f>
        <v>236647000</v>
      </c>
      <c r="AO221" s="76"/>
      <c r="AP221" s="75"/>
      <c r="AQ221" s="75"/>
      <c r="AR221" s="77"/>
      <c r="AS221" s="75"/>
      <c r="AT221" s="75"/>
      <c r="AU221" s="77"/>
      <c r="AV221" s="78">
        <v>1613829000</v>
      </c>
      <c r="AW221" s="79">
        <f t="shared" si="35"/>
        <v>2622406.4421596997</v>
      </c>
      <c r="AX221" s="144">
        <v>4884470000</v>
      </c>
      <c r="AY221" s="80"/>
      <c r="AZ221" s="124">
        <f>(AX221+5868393000)/2</f>
        <v>5376431500</v>
      </c>
      <c r="BA221" s="138">
        <v>152707000</v>
      </c>
      <c r="BB221" s="124">
        <v>319254000</v>
      </c>
      <c r="BC221" s="37" t="s">
        <v>476</v>
      </c>
    </row>
    <row r="222" spans="1:55" ht="19.5" customHeight="1" x14ac:dyDescent="0.25">
      <c r="A222" s="8" t="s">
        <v>444</v>
      </c>
      <c r="B222" s="8" t="s">
        <v>471</v>
      </c>
      <c r="C222" s="18" t="s">
        <v>477</v>
      </c>
      <c r="D222" s="73" t="s">
        <v>527</v>
      </c>
      <c r="E222" s="73" t="s">
        <v>473</v>
      </c>
      <c r="F222" s="73">
        <v>1.6249592999999999E-3</v>
      </c>
      <c r="G222" s="74">
        <v>919366</v>
      </c>
      <c r="H222" s="74"/>
      <c r="I222" s="75"/>
      <c r="J222" s="74">
        <v>3899980000</v>
      </c>
      <c r="K222" s="76">
        <f t="shared" si="26"/>
        <v>6337308.7708139997</v>
      </c>
      <c r="L222" s="75">
        <f>(2429439+54784+138237+39701)*1000</f>
        <v>2662161000</v>
      </c>
      <c r="M222" s="76"/>
      <c r="N222" s="75"/>
      <c r="O222" s="77"/>
      <c r="P222" s="75"/>
      <c r="Q222" s="77"/>
      <c r="R222" s="75"/>
      <c r="S222" s="76"/>
      <c r="T222" s="75"/>
      <c r="U222" s="75"/>
      <c r="V222" s="75"/>
      <c r="W222" s="75"/>
      <c r="X222" s="75"/>
      <c r="Y222" s="75"/>
      <c r="Z222" s="75">
        <v>89733000</v>
      </c>
      <c r="AA222" s="77"/>
      <c r="AB222" s="75"/>
      <c r="AC222" s="75"/>
      <c r="AD222" s="75"/>
      <c r="AE222" s="75"/>
      <c r="AF222" s="75">
        <v>765167000</v>
      </c>
      <c r="AG222" s="76"/>
      <c r="AH222" s="75">
        <f>J222-L222</f>
        <v>1237819000</v>
      </c>
      <c r="AI222" s="75"/>
      <c r="AJ222" s="82"/>
      <c r="AK222" s="76"/>
      <c r="AL222" s="82"/>
      <c r="AM222" s="76"/>
      <c r="AN222" s="75">
        <f>(148487+54291)*1000</f>
        <v>202778000</v>
      </c>
      <c r="AO222" s="76"/>
      <c r="AP222" s="75"/>
      <c r="AQ222" s="75"/>
      <c r="AR222" s="77"/>
      <c r="AS222" s="75"/>
      <c r="AT222" s="75"/>
      <c r="AU222" s="77"/>
      <c r="AV222" s="78">
        <v>6926139000</v>
      </c>
      <c r="AW222" s="79"/>
      <c r="AX222" s="124">
        <v>62052366000</v>
      </c>
      <c r="AY222" s="80"/>
      <c r="AZ222" s="124">
        <f>(AX222+60569936000)/2</f>
        <v>61311151000</v>
      </c>
      <c r="BA222" s="124">
        <v>7644106000</v>
      </c>
      <c r="BB222" s="124">
        <v>12503431000</v>
      </c>
    </row>
    <row r="223" spans="1:55" x14ac:dyDescent="0.25">
      <c r="A223" s="8" t="s">
        <v>444</v>
      </c>
      <c r="B223" s="8" t="s">
        <v>478</v>
      </c>
      <c r="C223" s="18" t="s">
        <v>479</v>
      </c>
      <c r="D223" s="73" t="s">
        <v>527</v>
      </c>
      <c r="E223" s="73" t="s">
        <v>480</v>
      </c>
      <c r="F223" s="73">
        <v>3.3533219999999999E-4</v>
      </c>
      <c r="G223" s="74">
        <v>32700000</v>
      </c>
      <c r="H223" s="74"/>
      <c r="I223" s="75"/>
      <c r="J223" s="74">
        <v>1051619000000</v>
      </c>
      <c r="K223" s="76">
        <f t="shared" si="26"/>
        <v>352641712.83179998</v>
      </c>
      <c r="L223" s="75"/>
      <c r="M223" s="76"/>
      <c r="N223" s="88"/>
      <c r="O223" s="77"/>
      <c r="P223" s="75"/>
      <c r="Q223" s="77"/>
      <c r="R223" s="75"/>
      <c r="S223" s="76"/>
      <c r="T223" s="75"/>
      <c r="U223" s="75"/>
      <c r="V223" s="75"/>
      <c r="W223" s="75"/>
      <c r="X223" s="75"/>
      <c r="Y223" s="75"/>
      <c r="Z223" s="75"/>
      <c r="AA223" s="75"/>
      <c r="AB223" s="75"/>
      <c r="AC223" s="75"/>
      <c r="AD223" s="75"/>
      <c r="AE223" s="75"/>
      <c r="AF223" s="75"/>
      <c r="AG223" s="75"/>
      <c r="AH223" s="75"/>
      <c r="AI223" s="75"/>
      <c r="AJ223" s="78"/>
      <c r="AK223" s="75"/>
      <c r="AL223" s="78"/>
      <c r="AM223" s="75"/>
      <c r="AN223" s="146"/>
      <c r="AO223" s="146"/>
      <c r="AP223" s="75"/>
      <c r="AQ223" s="75">
        <v>370480000000</v>
      </c>
      <c r="AR223" s="77"/>
      <c r="AS223" s="75"/>
      <c r="AT223" s="75"/>
      <c r="AU223" s="73"/>
      <c r="AV223" s="78">
        <v>121373000000</v>
      </c>
      <c r="AW223" s="79"/>
      <c r="AX223" s="124"/>
      <c r="AY223" s="80"/>
      <c r="AZ223" s="124"/>
      <c r="BA223" s="124"/>
      <c r="BB223" s="124"/>
    </row>
    <row r="224" spans="1:55" x14ac:dyDescent="0.25">
      <c r="A224" s="8" t="s">
        <v>444</v>
      </c>
      <c r="B224" s="8" t="s">
        <v>481</v>
      </c>
      <c r="C224" s="18" t="s">
        <v>482</v>
      </c>
      <c r="D224" s="73" t="s">
        <v>527</v>
      </c>
      <c r="E224" s="73" t="s">
        <v>251</v>
      </c>
      <c r="F224" s="142">
        <v>1</v>
      </c>
      <c r="G224" s="74">
        <v>5300000</v>
      </c>
      <c r="H224" s="74"/>
      <c r="I224" s="75"/>
      <c r="J224" s="74">
        <v>172000000</v>
      </c>
      <c r="K224" s="76">
        <f t="shared" si="26"/>
        <v>172000000</v>
      </c>
      <c r="L224" s="75"/>
      <c r="M224" s="76"/>
      <c r="N224" s="75"/>
      <c r="O224" s="77"/>
      <c r="P224" s="75"/>
      <c r="Q224" s="77"/>
      <c r="R224" s="75"/>
      <c r="S224" s="76"/>
      <c r="T224" s="75"/>
      <c r="U224" s="75"/>
      <c r="V224" s="75"/>
      <c r="W224" s="75"/>
      <c r="X224" s="75"/>
      <c r="Y224" s="75"/>
      <c r="Z224" s="75"/>
      <c r="AA224" s="75"/>
      <c r="AB224" s="75"/>
      <c r="AC224" s="75"/>
      <c r="AD224" s="75"/>
      <c r="AE224" s="75"/>
      <c r="AF224" s="75"/>
      <c r="AG224" s="75"/>
      <c r="AH224" s="75"/>
      <c r="AI224" s="75"/>
      <c r="AJ224" s="78"/>
      <c r="AK224" s="75"/>
      <c r="AL224" s="78"/>
      <c r="AM224" s="75"/>
      <c r="AN224" s="75"/>
      <c r="AO224" s="75"/>
      <c r="AP224" s="75"/>
      <c r="AQ224" s="75">
        <v>111000000</v>
      </c>
      <c r="AR224" s="77"/>
      <c r="AS224" s="75"/>
      <c r="AT224" s="73"/>
      <c r="AU224" s="73"/>
      <c r="AV224" s="78">
        <v>57000000</v>
      </c>
      <c r="AW224" s="79"/>
      <c r="AX224" s="124"/>
      <c r="AY224" s="80"/>
      <c r="AZ224" s="124"/>
      <c r="BA224" s="124"/>
      <c r="BB224" s="124"/>
    </row>
    <row r="225" spans="1:54" x14ac:dyDescent="0.25">
      <c r="A225" s="8" t="s">
        <v>444</v>
      </c>
      <c r="B225" s="8" t="s">
        <v>481</v>
      </c>
      <c r="C225" s="18" t="s">
        <v>483</v>
      </c>
      <c r="D225" s="8" t="s">
        <v>66</v>
      </c>
      <c r="E225" s="8" t="s">
        <v>251</v>
      </c>
      <c r="F225" s="42">
        <v>1</v>
      </c>
      <c r="G225" s="10">
        <v>3749467</v>
      </c>
      <c r="H225" s="10">
        <v>914636</v>
      </c>
      <c r="I225" s="12"/>
      <c r="J225" s="10">
        <v>84399000</v>
      </c>
      <c r="K225" s="11">
        <f t="shared" ref="K225:K238" si="36">J225*F225</f>
        <v>84399000</v>
      </c>
      <c r="L225" s="23">
        <f>(28%+2%+6%+11%+26%)*J225</f>
        <v>61611270</v>
      </c>
      <c r="M225" s="11">
        <f>F225*L225</f>
        <v>61611270</v>
      </c>
      <c r="N225" s="12">
        <f>34%*J225</f>
        <v>28695660.000000004</v>
      </c>
      <c r="O225" s="13">
        <f>N225*F225</f>
        <v>28695660.000000004</v>
      </c>
      <c r="P225" s="12"/>
      <c r="Q225" s="13">
        <f>P225*F225</f>
        <v>0</v>
      </c>
      <c r="R225" s="12">
        <f>J225-L225</f>
        <v>22787730</v>
      </c>
      <c r="S225" s="11">
        <f>R225*F225</f>
        <v>22787730</v>
      </c>
      <c r="T225" s="12"/>
      <c r="U225" s="12">
        <f>3%*J225</f>
        <v>2531970</v>
      </c>
      <c r="V225" s="20">
        <f>U225*F225</f>
        <v>2531970</v>
      </c>
      <c r="W225" s="12"/>
      <c r="X225" s="12"/>
      <c r="Y225" s="12"/>
      <c r="Z225" s="12"/>
      <c r="AA225" s="12"/>
      <c r="AB225" s="12"/>
      <c r="AC225" s="12"/>
      <c r="AD225" s="12"/>
      <c r="AE225" s="12"/>
      <c r="AF225" s="12"/>
      <c r="AG225" s="12"/>
      <c r="AH225" s="12">
        <f>J225-AT225</f>
        <v>62166000</v>
      </c>
      <c r="AI225" s="12"/>
      <c r="AJ225" s="15"/>
      <c r="AK225" s="12"/>
      <c r="AL225" s="15"/>
      <c r="AM225" s="12"/>
      <c r="AN225" s="12"/>
      <c r="AO225" s="12"/>
      <c r="AP225" s="12"/>
      <c r="AQ225" s="12"/>
      <c r="AR225" s="13"/>
      <c r="AS225" s="12"/>
      <c r="AT225" s="12">
        <v>22233000</v>
      </c>
      <c r="AU225" s="13">
        <f>AT225*F225</f>
        <v>22233000</v>
      </c>
      <c r="AV225" s="15">
        <v>16875000</v>
      </c>
      <c r="AW225" s="16">
        <f>AV225*F225</f>
        <v>16875000</v>
      </c>
      <c r="AX225" s="127"/>
      <c r="AY225" s="17"/>
      <c r="AZ225" s="119"/>
      <c r="BA225" s="119"/>
      <c r="BB225" s="119"/>
    </row>
    <row r="226" spans="1:54" x14ac:dyDescent="0.25">
      <c r="A226" s="8" t="s">
        <v>444</v>
      </c>
      <c r="B226" s="8" t="s">
        <v>484</v>
      </c>
      <c r="C226" s="18" t="s">
        <v>485</v>
      </c>
      <c r="D226" s="8" t="s">
        <v>66</v>
      </c>
      <c r="E226" s="8" t="s">
        <v>486</v>
      </c>
      <c r="F226" s="8">
        <v>4.9111090000000003E-3</v>
      </c>
      <c r="G226" s="45">
        <v>572000</v>
      </c>
      <c r="H226" s="45"/>
      <c r="I226" s="12"/>
      <c r="J226" s="10">
        <v>400000000</v>
      </c>
      <c r="K226" s="11">
        <f t="shared" si="36"/>
        <v>1964443.6</v>
      </c>
      <c r="M226" s="11"/>
      <c r="N226" s="12"/>
      <c r="O226" s="13"/>
      <c r="P226" s="12"/>
      <c r="Q226" s="13">
        <f>P226*F226</f>
        <v>0</v>
      </c>
      <c r="R226" s="12"/>
      <c r="S226" s="11">
        <f>R226*F226</f>
        <v>0</v>
      </c>
      <c r="T226" s="12"/>
      <c r="U226" s="12"/>
      <c r="V226" s="12"/>
      <c r="W226" s="12"/>
      <c r="X226" s="12"/>
      <c r="Y226" s="12"/>
      <c r="Z226" s="12"/>
      <c r="AA226" s="12"/>
      <c r="AB226" s="12"/>
      <c r="AC226" s="12"/>
      <c r="AD226" s="12"/>
      <c r="AE226" s="12"/>
      <c r="AF226" s="12"/>
      <c r="AG226" s="12"/>
      <c r="AJ226" s="26"/>
      <c r="AL226" s="26"/>
      <c r="AQ226" s="12"/>
      <c r="AR226" s="13"/>
      <c r="AS226" s="12"/>
      <c r="AT226" s="12"/>
      <c r="AU226" s="13"/>
      <c r="AV226" s="26"/>
      <c r="AW226" s="16"/>
      <c r="AX226" s="121"/>
      <c r="AY226" s="17"/>
      <c r="AZ226" s="119"/>
      <c r="BA226" s="119"/>
      <c r="BB226" s="119"/>
    </row>
    <row r="227" spans="1:54" x14ac:dyDescent="0.25">
      <c r="A227" s="8" t="s">
        <v>444</v>
      </c>
      <c r="B227" s="8" t="s">
        <v>487</v>
      </c>
      <c r="C227" s="18" t="s">
        <v>488</v>
      </c>
      <c r="D227" s="73" t="s">
        <v>533</v>
      </c>
      <c r="E227" s="73" t="s">
        <v>251</v>
      </c>
      <c r="F227" s="142">
        <v>1</v>
      </c>
      <c r="G227" s="74"/>
      <c r="H227" s="74"/>
      <c r="I227" s="75"/>
      <c r="J227" s="74">
        <v>95359936</v>
      </c>
      <c r="K227" s="76">
        <f t="shared" si="36"/>
        <v>95359936</v>
      </c>
      <c r="L227" s="75">
        <v>55553839</v>
      </c>
      <c r="M227" s="76"/>
      <c r="N227" s="75"/>
      <c r="O227" s="77"/>
      <c r="P227" s="75"/>
      <c r="Q227" s="77"/>
      <c r="R227" s="75">
        <f>J227-L227</f>
        <v>39806097</v>
      </c>
      <c r="S227" s="76"/>
      <c r="T227" s="75"/>
      <c r="U227" s="75"/>
      <c r="V227" s="75"/>
      <c r="W227" s="75"/>
      <c r="X227" s="75"/>
      <c r="Y227" s="75"/>
      <c r="Z227" s="75"/>
      <c r="AA227" s="75"/>
      <c r="AB227" s="75"/>
      <c r="AC227" s="75"/>
      <c r="AD227" s="75"/>
      <c r="AE227" s="75"/>
      <c r="AF227" s="75"/>
      <c r="AG227" s="75"/>
      <c r="AH227" s="75">
        <f>45258968+11584649</f>
        <v>56843617</v>
      </c>
      <c r="AI227" s="75"/>
      <c r="AJ227" s="82"/>
      <c r="AK227" s="76"/>
      <c r="AL227" s="82">
        <v>7349808</v>
      </c>
      <c r="AM227" s="76"/>
      <c r="AN227" s="75">
        <v>13038259</v>
      </c>
      <c r="AO227" s="76"/>
      <c r="AP227" s="75"/>
      <c r="AQ227" s="75"/>
      <c r="AR227" s="77"/>
      <c r="AS227" s="75"/>
      <c r="AT227" s="75">
        <v>38581701</v>
      </c>
      <c r="AU227" s="77"/>
      <c r="AV227" s="78">
        <v>27036056</v>
      </c>
      <c r="AW227" s="79"/>
      <c r="AX227" s="124">
        <v>165697081</v>
      </c>
      <c r="AY227" s="80"/>
      <c r="AZ227" s="124">
        <f>(179228031+AX227)/2</f>
        <v>172462556</v>
      </c>
      <c r="BA227" s="124">
        <v>19842380</v>
      </c>
      <c r="BB227" s="124">
        <v>38675496</v>
      </c>
    </row>
    <row r="228" spans="1:54" x14ac:dyDescent="0.25">
      <c r="A228" s="8" t="s">
        <v>489</v>
      </c>
      <c r="B228" s="8" t="s">
        <v>490</v>
      </c>
      <c r="C228" s="18" t="s">
        <v>491</v>
      </c>
      <c r="D228" s="73" t="s">
        <v>527</v>
      </c>
      <c r="E228" s="73" t="s">
        <v>492</v>
      </c>
      <c r="F228" s="73">
        <v>0.8</v>
      </c>
      <c r="G228" s="74">
        <v>19428143</v>
      </c>
      <c r="H228" s="74"/>
      <c r="I228" s="75">
        <v>264191</v>
      </c>
      <c r="J228" s="74">
        <v>645021000</v>
      </c>
      <c r="K228" s="76">
        <f t="shared" si="36"/>
        <v>516016800</v>
      </c>
      <c r="L228" s="75">
        <f>(228.5+215.1)*1000000</f>
        <v>443600000</v>
      </c>
      <c r="M228" s="76"/>
      <c r="N228" s="75"/>
      <c r="O228" s="77"/>
      <c r="P228" s="75"/>
      <c r="Q228" s="77"/>
      <c r="R228" s="75">
        <v>201400000</v>
      </c>
      <c r="S228" s="76"/>
      <c r="T228" s="109">
        <v>59900000</v>
      </c>
      <c r="U228" s="75"/>
      <c r="V228" s="75"/>
      <c r="W228" s="75"/>
      <c r="X228" s="75"/>
      <c r="Y228" s="75"/>
      <c r="Z228" s="75"/>
      <c r="AA228" s="75"/>
      <c r="AB228" s="75"/>
      <c r="AC228" s="75"/>
      <c r="AD228" s="75"/>
      <c r="AE228" s="75"/>
      <c r="AF228" s="75"/>
      <c r="AG228" s="75"/>
      <c r="AH228" s="75">
        <f>(215700000+150200000)</f>
        <v>365900000</v>
      </c>
      <c r="AI228" s="75"/>
      <c r="AJ228" s="82"/>
      <c r="AK228" s="76"/>
      <c r="AL228" s="82"/>
      <c r="AM228" s="76"/>
      <c r="AN228" s="75">
        <v>77200000</v>
      </c>
      <c r="AO228" s="76"/>
      <c r="AP228" s="73"/>
      <c r="AQ228" s="75">
        <v>285087000</v>
      </c>
      <c r="AR228" s="77"/>
      <c r="AS228" s="75"/>
      <c r="AT228" s="75"/>
      <c r="AU228" s="77"/>
      <c r="AV228" s="78">
        <v>74282000</v>
      </c>
      <c r="AW228" s="79"/>
      <c r="AX228" s="124">
        <v>2515666000</v>
      </c>
      <c r="AY228" s="80"/>
      <c r="AZ228" s="124">
        <f>( 2461212000+AX228)/2</f>
        <v>2488439000</v>
      </c>
      <c r="BA228" s="124">
        <v>203401000</v>
      </c>
      <c r="BB228" s="124">
        <v>331811000</v>
      </c>
    </row>
    <row r="229" spans="1:54" x14ac:dyDescent="0.25">
      <c r="A229" s="8" t="s">
        <v>489</v>
      </c>
      <c r="B229" s="8" t="s">
        <v>490</v>
      </c>
      <c r="C229" s="18" t="s">
        <v>493</v>
      </c>
      <c r="D229" s="73" t="s">
        <v>527</v>
      </c>
      <c r="E229" s="73" t="s">
        <v>492</v>
      </c>
      <c r="F229" s="73">
        <v>0.8</v>
      </c>
      <c r="G229" s="74">
        <v>49500000</v>
      </c>
      <c r="H229" s="74"/>
      <c r="I229" s="75">
        <v>435000</v>
      </c>
      <c r="J229" s="74">
        <v>1471100000</v>
      </c>
      <c r="K229" s="76">
        <f t="shared" si="36"/>
        <v>1176880000</v>
      </c>
      <c r="L229" s="75">
        <f>509800000+460000000</f>
        <v>969800000</v>
      </c>
      <c r="M229" s="76"/>
      <c r="N229" s="75"/>
      <c r="O229" s="77"/>
      <c r="P229" s="75">
        <v>318500000</v>
      </c>
      <c r="Q229" s="77"/>
      <c r="R229" s="75">
        <v>501900000</v>
      </c>
      <c r="S229" s="76"/>
      <c r="T229" s="109"/>
      <c r="U229" s="75"/>
      <c r="V229" s="75"/>
      <c r="W229" s="75"/>
      <c r="X229" s="75"/>
      <c r="Y229" s="75"/>
      <c r="Z229" s="75"/>
      <c r="AA229" s="75"/>
      <c r="AB229" s="75"/>
      <c r="AC229" s="75"/>
      <c r="AD229" s="75"/>
      <c r="AE229" s="75"/>
      <c r="AF229" s="75">
        <v>191800000</v>
      </c>
      <c r="AG229" s="76"/>
      <c r="AH229" s="75">
        <v>1028100000</v>
      </c>
      <c r="AI229" s="75"/>
      <c r="AJ229" s="82"/>
      <c r="AK229" s="76"/>
      <c r="AL229" s="82"/>
      <c r="AM229" s="76"/>
      <c r="AN229" s="75">
        <v>191900000</v>
      </c>
      <c r="AO229" s="76"/>
      <c r="AP229" s="75"/>
      <c r="AQ229" s="75">
        <v>720600000</v>
      </c>
      <c r="AR229" s="77"/>
      <c r="AS229" s="75"/>
      <c r="AT229" s="75">
        <v>443600000</v>
      </c>
      <c r="AU229" s="77"/>
      <c r="AV229" s="78">
        <v>113700000</v>
      </c>
      <c r="AW229" s="79"/>
      <c r="AX229" s="124">
        <f>6437600000</f>
        <v>6437600000</v>
      </c>
      <c r="AY229" s="80"/>
      <c r="AZ229" s="124">
        <f>(AX229+6186200000)/2</f>
        <v>6311900000</v>
      </c>
      <c r="BA229" s="124">
        <v>1591336000</v>
      </c>
      <c r="BB229" s="124">
        <v>730592000</v>
      </c>
    </row>
    <row r="230" spans="1:54" x14ac:dyDescent="0.25">
      <c r="A230" s="8" t="s">
        <v>489</v>
      </c>
      <c r="B230" s="8" t="s">
        <v>490</v>
      </c>
      <c r="C230" s="18" t="s">
        <v>494</v>
      </c>
      <c r="D230" s="73" t="s">
        <v>527</v>
      </c>
      <c r="E230" s="73" t="s">
        <v>492</v>
      </c>
      <c r="F230" s="73">
        <v>0.8</v>
      </c>
      <c r="G230" s="74">
        <v>25900000</v>
      </c>
      <c r="H230" s="74"/>
      <c r="I230" s="75">
        <v>296000</v>
      </c>
      <c r="J230" s="74">
        <f>L230+R230</f>
        <v>565100000</v>
      </c>
      <c r="K230" s="76">
        <f t="shared" si="36"/>
        <v>452080000</v>
      </c>
      <c r="L230" s="75">
        <f>(143.2+172.1)*1000000</f>
        <v>315299999.99999994</v>
      </c>
      <c r="M230" s="76"/>
      <c r="N230" s="75"/>
      <c r="O230" s="77"/>
      <c r="P230" s="75"/>
      <c r="Q230" s="77"/>
      <c r="R230" s="75">
        <v>249800000</v>
      </c>
      <c r="S230" s="76"/>
      <c r="T230" s="109"/>
      <c r="U230" s="75"/>
      <c r="V230" s="75"/>
      <c r="W230" s="75"/>
      <c r="X230" s="75"/>
      <c r="Y230" s="75"/>
      <c r="Z230" s="75"/>
      <c r="AA230" s="75"/>
      <c r="AB230" s="75"/>
      <c r="AC230" s="75"/>
      <c r="AD230" s="75"/>
      <c r="AE230" s="75"/>
      <c r="AF230" s="75">
        <v>37911000</v>
      </c>
      <c r="AG230" s="76"/>
      <c r="AH230" s="75">
        <v>378091000</v>
      </c>
      <c r="AI230" s="75"/>
      <c r="AJ230" s="82"/>
      <c r="AK230" s="76"/>
      <c r="AL230" s="82"/>
      <c r="AM230" s="76"/>
      <c r="AN230" s="75">
        <v>60502000</v>
      </c>
      <c r="AO230" s="76"/>
      <c r="AP230" s="75"/>
      <c r="AQ230" s="75"/>
      <c r="AR230" s="77"/>
      <c r="AS230" s="75"/>
      <c r="AT230" s="75"/>
      <c r="AU230" s="73"/>
      <c r="AV230" s="111"/>
      <c r="AW230" s="79"/>
      <c r="AX230" s="124"/>
      <c r="AY230" s="80"/>
      <c r="AZ230" s="124"/>
      <c r="BA230" s="124"/>
      <c r="BB230" s="124">
        <v>270400000</v>
      </c>
    </row>
    <row r="231" spans="1:54" x14ac:dyDescent="0.25">
      <c r="A231" s="8" t="s">
        <v>489</v>
      </c>
      <c r="B231" s="8" t="s">
        <v>490</v>
      </c>
      <c r="C231" s="18" t="s">
        <v>495</v>
      </c>
      <c r="D231" s="73" t="s">
        <v>527</v>
      </c>
      <c r="E231" s="73" t="s">
        <v>492</v>
      </c>
      <c r="F231" s="73">
        <v>0.8</v>
      </c>
      <c r="G231" s="74">
        <v>17300000</v>
      </c>
      <c r="H231" s="74"/>
      <c r="I231" s="75">
        <v>200000</v>
      </c>
      <c r="J231" s="74">
        <v>421000000</v>
      </c>
      <c r="K231" s="76">
        <f t="shared" si="36"/>
        <v>336800000</v>
      </c>
      <c r="L231" s="75">
        <f>(118092+163880)*1000</f>
        <v>281972000</v>
      </c>
      <c r="M231" s="76"/>
      <c r="N231" s="75"/>
      <c r="O231" s="77"/>
      <c r="P231" s="75"/>
      <c r="Q231" s="77"/>
      <c r="R231" s="75">
        <v>118092000</v>
      </c>
      <c r="S231" s="76"/>
      <c r="T231" s="109"/>
      <c r="U231" s="75"/>
      <c r="V231" s="75"/>
      <c r="W231" s="75"/>
      <c r="X231" s="75"/>
      <c r="Y231" s="75"/>
      <c r="Z231" s="75"/>
      <c r="AA231" s="75"/>
      <c r="AB231" s="75"/>
      <c r="AC231" s="75"/>
      <c r="AD231" s="75"/>
      <c r="AE231" s="75"/>
      <c r="AF231" s="75">
        <v>43694000</v>
      </c>
      <c r="AG231" s="76"/>
      <c r="AH231" s="75">
        <v>562681000</v>
      </c>
      <c r="AI231" s="75"/>
      <c r="AJ231" s="82"/>
      <c r="AK231" s="76"/>
      <c r="AL231" s="82"/>
      <c r="AM231" s="76"/>
      <c r="AN231" s="75">
        <v>33170000</v>
      </c>
      <c r="AO231" s="76"/>
      <c r="AP231" s="75"/>
      <c r="AQ231" s="75"/>
      <c r="AR231" s="77"/>
      <c r="AS231" s="75"/>
      <c r="AT231" s="75">
        <v>-141797000</v>
      </c>
      <c r="AU231" s="77"/>
      <c r="AV231" s="78">
        <v>-144642000</v>
      </c>
      <c r="AW231" s="79"/>
      <c r="AX231" s="124">
        <v>3232564000</v>
      </c>
      <c r="AY231" s="80"/>
      <c r="AZ231" s="124">
        <f>(AX231+3393220000)/2</f>
        <v>3312892000</v>
      </c>
      <c r="BA231" s="124">
        <v>66374000</v>
      </c>
      <c r="BB231" s="124">
        <v>106823000</v>
      </c>
    </row>
    <row r="232" spans="1:54" x14ac:dyDescent="0.25">
      <c r="A232" s="8" t="s">
        <v>489</v>
      </c>
      <c r="B232" s="8" t="s">
        <v>490</v>
      </c>
      <c r="C232" s="18" t="s">
        <v>496</v>
      </c>
      <c r="D232" s="73" t="s">
        <v>527</v>
      </c>
      <c r="E232" s="73" t="s">
        <v>492</v>
      </c>
      <c r="F232" s="73">
        <v>0.8</v>
      </c>
      <c r="G232" s="74">
        <v>8254100</v>
      </c>
      <c r="H232" s="74"/>
      <c r="I232" s="75"/>
      <c r="J232" s="74">
        <v>233800000</v>
      </c>
      <c r="K232" s="76">
        <f t="shared" si="36"/>
        <v>187040000</v>
      </c>
      <c r="L232" s="75">
        <f>J232-R232</f>
        <v>160386800</v>
      </c>
      <c r="M232" s="76"/>
      <c r="N232" s="75"/>
      <c r="O232" s="77"/>
      <c r="P232" s="75"/>
      <c r="Q232" s="77"/>
      <c r="R232" s="75">
        <f>31.4%*J232</f>
        <v>73413200</v>
      </c>
      <c r="S232" s="76"/>
      <c r="T232" s="109"/>
      <c r="U232" s="75"/>
      <c r="V232" s="75"/>
      <c r="W232" s="75"/>
      <c r="X232" s="75"/>
      <c r="Y232" s="75"/>
      <c r="Z232" s="75"/>
      <c r="AA232" s="75"/>
      <c r="AB232" s="75"/>
      <c r="AC232" s="75"/>
      <c r="AD232" s="75"/>
      <c r="AE232" s="75"/>
      <c r="AF232" s="73"/>
      <c r="AG232" s="73"/>
      <c r="AH232" s="75">
        <f>67574000+122403000</f>
        <v>189977000</v>
      </c>
      <c r="AI232" s="75"/>
      <c r="AJ232" s="82"/>
      <c r="AK232" s="76"/>
      <c r="AL232" s="82"/>
      <c r="AM232" s="76"/>
      <c r="AN232" s="75">
        <f>34465000</f>
        <v>34465000</v>
      </c>
      <c r="AO232" s="76"/>
      <c r="AP232" s="75"/>
      <c r="AQ232" s="75">
        <f>111398000</f>
        <v>111398000</v>
      </c>
      <c r="AR232" s="77"/>
      <c r="AS232" s="75"/>
      <c r="AT232" s="75"/>
      <c r="AU232" s="77"/>
      <c r="AV232" s="78"/>
      <c r="AW232" s="79"/>
      <c r="AX232" s="124">
        <f>1234646000</f>
        <v>1234646000</v>
      </c>
      <c r="AY232" s="80"/>
      <c r="AZ232" s="124">
        <f>(AX232+1073203000)/2</f>
        <v>1153924500</v>
      </c>
      <c r="BA232" s="124">
        <v>77603000</v>
      </c>
      <c r="BB232" s="124">
        <v>79309000</v>
      </c>
    </row>
    <row r="233" spans="1:54" x14ac:dyDescent="0.25">
      <c r="A233" s="8" t="s">
        <v>489</v>
      </c>
      <c r="B233" s="8" t="s">
        <v>490</v>
      </c>
      <c r="C233" s="18" t="s">
        <v>497</v>
      </c>
      <c r="D233" s="73" t="s">
        <v>527</v>
      </c>
      <c r="E233" s="73" t="s">
        <v>0</v>
      </c>
      <c r="F233" s="73">
        <v>0.8</v>
      </c>
      <c r="G233" s="74">
        <v>4316079</v>
      </c>
      <c r="H233" s="74"/>
      <c r="I233" s="75"/>
      <c r="J233" s="74">
        <v>115000000</v>
      </c>
      <c r="K233" s="76">
        <f t="shared" si="36"/>
        <v>92000000</v>
      </c>
      <c r="L233" s="75">
        <f>J233-R232</f>
        <v>41586800</v>
      </c>
      <c r="M233" s="76"/>
      <c r="N233" s="75"/>
      <c r="O233" s="77"/>
      <c r="P233" s="75"/>
      <c r="Q233" s="77"/>
      <c r="R233" s="75">
        <f>51.8%*115000000</f>
        <v>59570000</v>
      </c>
      <c r="S233" s="76"/>
      <c r="T233" s="109">
        <v>14349000</v>
      </c>
      <c r="U233" s="75"/>
      <c r="V233" s="75"/>
      <c r="W233" s="75"/>
      <c r="X233" s="75"/>
      <c r="Y233" s="75"/>
      <c r="Z233" s="75"/>
      <c r="AA233" s="75"/>
      <c r="AB233" s="75"/>
      <c r="AC233" s="75"/>
      <c r="AD233" s="75"/>
      <c r="AE233" s="75"/>
      <c r="AF233" s="75">
        <v>15308000</v>
      </c>
      <c r="AG233" s="76"/>
      <c r="AH233" s="75">
        <v>99635000</v>
      </c>
      <c r="AI233" s="75"/>
      <c r="AJ233" s="82"/>
      <c r="AK233" s="76"/>
      <c r="AL233" s="82"/>
      <c r="AM233" s="76"/>
      <c r="AN233" s="75">
        <v>23517000</v>
      </c>
      <c r="AO233" s="76"/>
      <c r="AP233" s="75"/>
      <c r="AQ233" s="75"/>
      <c r="AR233" s="77"/>
      <c r="AS233" s="75"/>
      <c r="AT233" s="75">
        <f>J233-AH233</f>
        <v>15365000</v>
      </c>
      <c r="AU233" s="77"/>
      <c r="AV233" s="78">
        <v>8218000</v>
      </c>
      <c r="AW233" s="79"/>
      <c r="AX233" s="124">
        <v>451456000</v>
      </c>
      <c r="AY233" s="147"/>
      <c r="AZ233" s="124">
        <f>(428766000+AX233)/2</f>
        <v>440111000</v>
      </c>
      <c r="BA233" s="124">
        <v>37492000</v>
      </c>
      <c r="BB233" s="124">
        <v>51886000</v>
      </c>
    </row>
    <row r="234" spans="1:54" x14ac:dyDescent="0.25">
      <c r="A234" s="8" t="s">
        <v>489</v>
      </c>
      <c r="B234" s="8" t="s">
        <v>490</v>
      </c>
      <c r="C234" s="18" t="s">
        <v>498</v>
      </c>
      <c r="D234" s="73" t="s">
        <v>527</v>
      </c>
      <c r="E234" s="73" t="s">
        <v>492</v>
      </c>
      <c r="F234" s="73">
        <v>0.8</v>
      </c>
      <c r="G234" s="74">
        <v>5110801</v>
      </c>
      <c r="H234" s="74"/>
      <c r="I234" s="75"/>
      <c r="J234" s="74">
        <v>138060000</v>
      </c>
      <c r="K234" s="76">
        <f t="shared" si="36"/>
        <v>110448000</v>
      </c>
      <c r="L234" s="75"/>
      <c r="M234" s="76"/>
      <c r="N234" s="75"/>
      <c r="O234" s="77"/>
      <c r="P234" s="75"/>
      <c r="Q234" s="77"/>
      <c r="R234" s="75"/>
      <c r="S234" s="76"/>
      <c r="T234" s="109">
        <v>15291000</v>
      </c>
      <c r="U234" s="75"/>
      <c r="V234" s="75"/>
      <c r="W234" s="75"/>
      <c r="X234" s="75"/>
      <c r="Y234" s="75"/>
      <c r="Z234" s="75"/>
      <c r="AA234" s="75"/>
      <c r="AB234" s="75"/>
      <c r="AC234" s="75"/>
      <c r="AD234" s="75"/>
      <c r="AE234" s="75"/>
      <c r="AF234" s="75">
        <v>16082000</v>
      </c>
      <c r="AG234" s="76"/>
      <c r="AH234" s="75">
        <f>38741000+24425000+31349000</f>
        <v>94515000</v>
      </c>
      <c r="AI234" s="75"/>
      <c r="AJ234" s="82"/>
      <c r="AK234" s="76"/>
      <c r="AL234" s="82"/>
      <c r="AM234" s="76"/>
      <c r="AN234" s="75">
        <v>24425000</v>
      </c>
      <c r="AO234" s="76"/>
      <c r="AP234" s="75"/>
      <c r="AQ234" s="75"/>
      <c r="AR234" s="77"/>
      <c r="AS234" s="75"/>
      <c r="AT234" s="75"/>
      <c r="AU234" s="77"/>
      <c r="AV234" s="78">
        <v>6960000</v>
      </c>
      <c r="AW234" s="79"/>
      <c r="AX234" s="124">
        <v>500422000</v>
      </c>
      <c r="AY234" s="147"/>
      <c r="AZ234" s="124">
        <f>(494958000+AX234)/2</f>
        <v>497690000</v>
      </c>
      <c r="BA234" s="124">
        <v>23268000</v>
      </c>
      <c r="BB234" s="124">
        <v>61519000</v>
      </c>
    </row>
    <row r="235" spans="1:54" x14ac:dyDescent="0.25">
      <c r="A235" s="8" t="s">
        <v>489</v>
      </c>
      <c r="B235" s="8" t="s">
        <v>490</v>
      </c>
      <c r="C235" s="18" t="s">
        <v>499</v>
      </c>
      <c r="D235" s="73" t="s">
        <v>527</v>
      </c>
      <c r="E235" s="73" t="s">
        <v>492</v>
      </c>
      <c r="F235" s="73">
        <v>0.8</v>
      </c>
      <c r="G235" s="109">
        <v>4500000</v>
      </c>
      <c r="H235" s="109"/>
      <c r="I235" s="75"/>
      <c r="J235" s="74">
        <v>138436000</v>
      </c>
      <c r="K235" s="76">
        <f t="shared" si="36"/>
        <v>110748800</v>
      </c>
      <c r="L235" s="75">
        <f>(48972+25308+22671)*1000</f>
        <v>96951000</v>
      </c>
      <c r="M235" s="76"/>
      <c r="N235" s="73"/>
      <c r="O235" s="77"/>
      <c r="P235" s="73"/>
      <c r="Q235" s="77"/>
      <c r="R235" s="75">
        <f>J235-L235</f>
        <v>41485000</v>
      </c>
      <c r="S235" s="76"/>
      <c r="T235" s="109">
        <v>4187000</v>
      </c>
      <c r="U235" s="73"/>
      <c r="V235" s="73"/>
      <c r="W235" s="73"/>
      <c r="X235" s="73"/>
      <c r="Y235" s="73"/>
      <c r="Z235" s="73"/>
      <c r="AA235" s="73"/>
      <c r="AB235" s="73"/>
      <c r="AC235" s="73"/>
      <c r="AD235" s="73"/>
      <c r="AE235" s="73"/>
      <c r="AF235" s="73"/>
      <c r="AG235" s="73"/>
      <c r="AH235" s="112">
        <v>100123000</v>
      </c>
      <c r="AI235" s="112"/>
      <c r="AJ235" s="82"/>
      <c r="AK235" s="76"/>
      <c r="AL235" s="82"/>
      <c r="AM235" s="76"/>
      <c r="AN235" s="148">
        <v>23704000</v>
      </c>
      <c r="AO235" s="76"/>
      <c r="AP235" s="73"/>
      <c r="AQ235" s="75">
        <v>68368000</v>
      </c>
      <c r="AR235" s="77"/>
      <c r="AS235" s="75"/>
      <c r="AT235" s="75">
        <f>J235-AH235</f>
        <v>38313000</v>
      </c>
      <c r="AU235" s="77"/>
      <c r="AV235" s="78">
        <v>5552000</v>
      </c>
      <c r="AW235" s="90"/>
      <c r="AX235" s="125">
        <v>910395000</v>
      </c>
      <c r="AY235" s="79"/>
      <c r="AZ235" s="125">
        <f>(AX235+916724000)/2</f>
        <v>913559500</v>
      </c>
      <c r="BA235" s="125">
        <v>156930000</v>
      </c>
      <c r="BB235" s="125">
        <v>28105000</v>
      </c>
    </row>
    <row r="236" spans="1:54" x14ac:dyDescent="0.25">
      <c r="C236" s="18" t="s">
        <v>555</v>
      </c>
      <c r="D236" s="73" t="s">
        <v>527</v>
      </c>
      <c r="E236" s="73" t="s">
        <v>492</v>
      </c>
      <c r="F236" s="73">
        <v>0.8</v>
      </c>
      <c r="G236" s="109">
        <v>2048627</v>
      </c>
      <c r="H236" s="109"/>
      <c r="I236" s="75"/>
      <c r="J236" s="74">
        <f>24381822+15111090</f>
        <v>39492912</v>
      </c>
      <c r="K236" s="76">
        <f t="shared" si="36"/>
        <v>31594329.600000001</v>
      </c>
      <c r="L236" s="75">
        <f>7860697+15111090</f>
        <v>22971787</v>
      </c>
      <c r="M236" s="76"/>
      <c r="N236" s="73"/>
      <c r="O236" s="77"/>
      <c r="P236" s="73"/>
      <c r="Q236" s="77"/>
      <c r="R236" s="75">
        <f>J236-L236</f>
        <v>16521125</v>
      </c>
      <c r="S236" s="76"/>
      <c r="T236" s="109">
        <v>11433271</v>
      </c>
      <c r="U236" s="73"/>
      <c r="V236" s="73"/>
      <c r="W236" s="73"/>
      <c r="X236" s="73"/>
      <c r="Y236" s="73"/>
      <c r="Z236" s="73"/>
      <c r="AA236" s="73"/>
      <c r="AB236" s="73"/>
      <c r="AC236" s="73"/>
      <c r="AD236" s="73"/>
      <c r="AE236" s="73"/>
      <c r="AF236" s="73"/>
      <c r="AG236" s="73"/>
      <c r="AH236" s="112">
        <v>28325127</v>
      </c>
      <c r="AI236" s="112"/>
      <c r="AJ236" s="82">
        <v>733469</v>
      </c>
      <c r="AK236" s="76"/>
      <c r="AL236" s="82"/>
      <c r="AM236" s="76"/>
      <c r="AN236" s="75">
        <v>5352582</v>
      </c>
      <c r="AO236" s="76"/>
      <c r="AP236" s="73"/>
      <c r="AQ236" s="75"/>
      <c r="AR236" s="77"/>
      <c r="AS236" s="75"/>
      <c r="AT236" s="75">
        <v>11167785</v>
      </c>
      <c r="AU236" s="77"/>
      <c r="AV236" s="78"/>
      <c r="AW236" s="90"/>
      <c r="AX236" s="125">
        <f>139733856</f>
        <v>139733856</v>
      </c>
      <c r="AY236" s="79"/>
      <c r="AZ236" s="125">
        <f>(126687996+AX236)/2</f>
        <v>133210926</v>
      </c>
      <c r="BA236" s="125">
        <v>5920122</v>
      </c>
      <c r="BB236" s="125">
        <v>21865200</v>
      </c>
    </row>
    <row r="237" spans="1:54" x14ac:dyDescent="0.25">
      <c r="C237" s="18" t="s">
        <v>556</v>
      </c>
      <c r="D237" s="73" t="s">
        <v>527</v>
      </c>
      <c r="E237" s="73" t="s">
        <v>492</v>
      </c>
      <c r="F237" s="73">
        <v>0.8</v>
      </c>
      <c r="G237" s="109">
        <v>1600000</v>
      </c>
      <c r="H237" s="109"/>
      <c r="I237" s="75"/>
      <c r="J237" s="74">
        <v>49802000</v>
      </c>
      <c r="K237" s="76"/>
      <c r="L237" s="75">
        <f>(6395+5480+23801)*1000</f>
        <v>35676000</v>
      </c>
      <c r="M237" s="76"/>
      <c r="N237" s="73"/>
      <c r="O237" s="77"/>
      <c r="P237" s="73">
        <v>6395000</v>
      </c>
      <c r="Q237" s="77"/>
      <c r="R237" s="75">
        <f>J237-L237</f>
        <v>14126000</v>
      </c>
      <c r="S237" s="76"/>
      <c r="T237" s="109">
        <v>4873000</v>
      </c>
      <c r="U237" s="73"/>
      <c r="V237" s="73"/>
      <c r="W237" s="73"/>
      <c r="X237" s="73"/>
      <c r="Y237" s="73"/>
      <c r="Z237" s="73"/>
      <c r="AA237" s="73"/>
      <c r="AB237" s="73"/>
      <c r="AC237" s="73"/>
      <c r="AD237" s="73"/>
      <c r="AE237" s="73"/>
      <c r="AF237" s="75">
        <v>3478000</v>
      </c>
      <c r="AG237" s="73"/>
      <c r="AH237" s="112">
        <v>42374000</v>
      </c>
      <c r="AI237" s="112"/>
      <c r="AJ237" s="82"/>
      <c r="AK237" s="76"/>
      <c r="AL237" s="82"/>
      <c r="AM237" s="76"/>
      <c r="AN237" s="75">
        <v>10631000</v>
      </c>
      <c r="AO237" s="76"/>
      <c r="AP237" s="73"/>
      <c r="AQ237" s="75"/>
      <c r="AR237" s="77"/>
      <c r="AS237" s="75"/>
      <c r="AT237" s="75">
        <v>7428000</v>
      </c>
      <c r="AU237" s="77"/>
      <c r="AV237" s="78"/>
      <c r="AW237" s="90"/>
      <c r="AX237" s="125">
        <v>248638000</v>
      </c>
      <c r="AY237" s="79"/>
      <c r="AZ237" s="125">
        <f>240394000+AX237</f>
        <v>489032000</v>
      </c>
      <c r="BA237" s="125">
        <v>27993000</v>
      </c>
      <c r="BB237" s="125">
        <v>16914000</v>
      </c>
    </row>
    <row r="238" spans="1:54" x14ac:dyDescent="0.25">
      <c r="A238" s="8" t="s">
        <v>489</v>
      </c>
      <c r="B238" s="8" t="s">
        <v>430</v>
      </c>
      <c r="C238" s="18" t="s">
        <v>500</v>
      </c>
      <c r="D238" s="73" t="s">
        <v>199</v>
      </c>
      <c r="E238" s="73" t="s">
        <v>251</v>
      </c>
      <c r="F238" s="142">
        <v>1</v>
      </c>
      <c r="G238" s="74">
        <f>19636213*2</f>
        <v>39272426</v>
      </c>
      <c r="H238" s="74"/>
      <c r="I238" s="75">
        <v>412163</v>
      </c>
      <c r="J238" s="74">
        <v>692935012</v>
      </c>
      <c r="K238" s="76">
        <f t="shared" si="36"/>
        <v>692935012</v>
      </c>
      <c r="L238" s="75">
        <v>348847667</v>
      </c>
      <c r="M238" s="76"/>
      <c r="N238" s="73"/>
      <c r="O238" s="77"/>
      <c r="P238" s="75">
        <v>111858219</v>
      </c>
      <c r="Q238" s="77"/>
      <c r="R238" s="75">
        <v>692935012</v>
      </c>
      <c r="S238" s="76"/>
      <c r="T238" s="109"/>
      <c r="U238" s="73"/>
      <c r="V238" s="73"/>
      <c r="W238" s="73"/>
      <c r="X238" s="75">
        <v>13763747</v>
      </c>
      <c r="Y238" s="77"/>
      <c r="Z238" s="75">
        <v>16855280</v>
      </c>
      <c r="AA238" s="77"/>
      <c r="AB238" s="75">
        <f>Z238+X238</f>
        <v>30619027</v>
      </c>
      <c r="AC238" s="77"/>
      <c r="AD238" s="75"/>
      <c r="AE238" s="75"/>
      <c r="AF238" s="75">
        <v>206567708</v>
      </c>
      <c r="AG238" s="76"/>
      <c r="AH238" s="75">
        <v>102427889</v>
      </c>
      <c r="AI238" s="75"/>
      <c r="AJ238" s="82">
        <v>31725449</v>
      </c>
      <c r="AK238" s="76"/>
      <c r="AL238" s="82">
        <v>100857662</v>
      </c>
      <c r="AM238" s="76"/>
      <c r="AN238" s="75">
        <v>142921320</v>
      </c>
      <c r="AO238" s="76"/>
      <c r="AP238" s="73"/>
      <c r="AQ238" s="75"/>
      <c r="AR238" s="77"/>
      <c r="AS238" s="75"/>
      <c r="AT238" s="75">
        <v>102427889</v>
      </c>
      <c r="AU238" s="77"/>
      <c r="AV238" s="78"/>
      <c r="AW238" s="90"/>
      <c r="AX238" s="125"/>
      <c r="AY238" s="79"/>
      <c r="AZ238" s="125"/>
      <c r="BA238" s="125"/>
      <c r="BB238" s="125"/>
    </row>
    <row r="239" spans="1:54" x14ac:dyDescent="0.25">
      <c r="C239" s="18" t="s">
        <v>501</v>
      </c>
      <c r="D239" s="73" t="s">
        <v>527</v>
      </c>
      <c r="E239" s="73" t="s">
        <v>251</v>
      </c>
      <c r="F239" s="142">
        <v>1</v>
      </c>
      <c r="G239" s="74">
        <v>64495000</v>
      </c>
      <c r="H239" s="74"/>
      <c r="I239" s="75">
        <v>603000</v>
      </c>
      <c r="J239" s="74">
        <v>808360000</v>
      </c>
      <c r="K239" s="76"/>
      <c r="L239" s="75">
        <v>358046000</v>
      </c>
      <c r="M239" s="76"/>
      <c r="N239" s="73"/>
      <c r="O239" s="77"/>
      <c r="P239" s="75"/>
      <c r="Q239" s="77"/>
      <c r="R239" s="75">
        <v>450014000</v>
      </c>
      <c r="S239" s="76"/>
      <c r="T239" s="109">
        <v>83297000</v>
      </c>
      <c r="U239" s="73"/>
      <c r="V239" s="73"/>
      <c r="W239" s="73"/>
      <c r="X239" s="75">
        <v>16211994</v>
      </c>
      <c r="Y239" s="77"/>
      <c r="Z239" s="75">
        <v>42145948</v>
      </c>
      <c r="AA239" s="77"/>
      <c r="AB239" s="75"/>
      <c r="AC239" s="77"/>
      <c r="AD239" s="75"/>
      <c r="AE239" s="75"/>
      <c r="AF239" s="75">
        <v>189890000</v>
      </c>
      <c r="AG239" s="76"/>
      <c r="AH239" s="75">
        <v>474314000</v>
      </c>
      <c r="AI239" s="75"/>
      <c r="AJ239" s="82"/>
      <c r="AK239" s="76"/>
      <c r="AL239" s="82">
        <v>19423000</v>
      </c>
      <c r="AM239" s="76"/>
      <c r="AN239" s="75">
        <v>173979000</v>
      </c>
      <c r="AO239" s="76"/>
      <c r="AP239" s="73"/>
      <c r="AQ239" s="75">
        <v>334046000</v>
      </c>
      <c r="AR239" s="77"/>
      <c r="AS239" s="75"/>
      <c r="AT239" s="75">
        <v>141037000</v>
      </c>
      <c r="AU239" s="77"/>
      <c r="AV239" s="78"/>
      <c r="AW239" s="90"/>
      <c r="AX239" s="125">
        <v>8004864000</v>
      </c>
      <c r="AY239" s="79"/>
      <c r="AZ239" s="125">
        <f>(5546775000+AX239)/2</f>
        <v>6775819500</v>
      </c>
      <c r="BA239" s="125">
        <f>(215707+257538)*1000</f>
        <v>473245000</v>
      </c>
      <c r="BB239" s="125">
        <v>336500000</v>
      </c>
    </row>
    <row r="240" spans="1:54" ht="18" customHeight="1" x14ac:dyDescent="0.25">
      <c r="A240" s="8" t="s">
        <v>489</v>
      </c>
      <c r="B240" s="8" t="s">
        <v>430</v>
      </c>
      <c r="C240" s="18" t="s">
        <v>502</v>
      </c>
      <c r="D240" s="73" t="s">
        <v>527</v>
      </c>
      <c r="E240" s="73" t="s">
        <v>251</v>
      </c>
      <c r="F240" s="142">
        <v>1</v>
      </c>
      <c r="G240" s="109">
        <f>30779368*2</f>
        <v>61558736</v>
      </c>
      <c r="H240" s="109"/>
      <c r="I240" s="75">
        <v>455529</v>
      </c>
      <c r="J240" s="109">
        <v>1304660852</v>
      </c>
      <c r="K240" s="76"/>
      <c r="L240" s="75">
        <v>993191737</v>
      </c>
      <c r="M240" s="76"/>
      <c r="N240" s="73"/>
      <c r="O240" s="77"/>
      <c r="P240" s="75">
        <v>363267059</v>
      </c>
      <c r="Q240" s="77"/>
      <c r="R240" s="75">
        <v>311469115</v>
      </c>
      <c r="S240" s="76"/>
      <c r="T240" s="109"/>
      <c r="U240" s="73"/>
      <c r="V240" s="73"/>
      <c r="W240" s="73"/>
      <c r="X240" s="75">
        <v>29059077</v>
      </c>
      <c r="Y240" s="77"/>
      <c r="Z240" s="75">
        <v>7262754</v>
      </c>
      <c r="AA240" s="77"/>
      <c r="AB240" s="75">
        <f>X240+Z240</f>
        <v>36321831</v>
      </c>
      <c r="AC240" s="77"/>
      <c r="AD240" s="73"/>
      <c r="AE240" s="73"/>
      <c r="AF240" s="75">
        <v>94062966</v>
      </c>
      <c r="AG240" s="76"/>
      <c r="AH240" s="75">
        <v>1016869049</v>
      </c>
      <c r="AI240" s="75"/>
      <c r="AJ240" s="82">
        <v>107586433</v>
      </c>
      <c r="AK240" s="76"/>
      <c r="AL240" s="82">
        <v>258300246</v>
      </c>
      <c r="AM240" s="76"/>
      <c r="AN240" s="75">
        <v>216910561</v>
      </c>
      <c r="AO240" s="76"/>
      <c r="AP240" s="73"/>
      <c r="AQ240" s="75"/>
      <c r="AR240" s="77"/>
      <c r="AS240" s="75"/>
      <c r="AT240" s="75">
        <v>287791803</v>
      </c>
      <c r="AU240" s="77"/>
      <c r="AV240" s="78"/>
      <c r="AW240" s="90"/>
      <c r="AX240" s="125"/>
      <c r="AY240" s="79"/>
      <c r="AZ240" s="125"/>
      <c r="BA240" s="125"/>
      <c r="BB240" s="125"/>
    </row>
    <row r="241" spans="1:54" ht="18" customHeight="1" x14ac:dyDescent="0.25">
      <c r="C241" s="18" t="s">
        <v>557</v>
      </c>
      <c r="D241" s="73" t="s">
        <v>527</v>
      </c>
      <c r="E241" s="73" t="s">
        <v>251</v>
      </c>
      <c r="F241" s="142">
        <v>1</v>
      </c>
      <c r="G241" s="109">
        <v>86633058</v>
      </c>
      <c r="H241" s="109"/>
      <c r="I241" s="75">
        <f>319677+319359</f>
        <v>639036</v>
      </c>
      <c r="J241" s="109">
        <v>1446226000</v>
      </c>
      <c r="K241" s="76"/>
      <c r="L241" s="75">
        <f>(284686+536367+118937+9439)*1000</f>
        <v>949429000</v>
      </c>
      <c r="M241" s="76"/>
      <c r="N241" s="73"/>
      <c r="O241" s="77"/>
      <c r="P241" s="75">
        <f>(284686+1956)*1000</f>
        <v>286642000</v>
      </c>
      <c r="Q241" s="77"/>
      <c r="R241" s="75">
        <f>469201000+27596000</f>
        <v>496797000</v>
      </c>
      <c r="S241" s="76"/>
      <c r="T241" s="109"/>
      <c r="U241" s="75">
        <v>83091000</v>
      </c>
      <c r="V241" s="73"/>
      <c r="W241" s="73">
        <v>61788000</v>
      </c>
      <c r="X241" s="75">
        <f>W241+U241</f>
        <v>144879000</v>
      </c>
      <c r="Y241" s="77"/>
      <c r="Z241" s="75">
        <f>22612000</f>
        <v>22612000</v>
      </c>
      <c r="AA241" s="77"/>
      <c r="AB241" s="75">
        <f>Z241+X241</f>
        <v>167491000</v>
      </c>
      <c r="AC241" s="77"/>
      <c r="AD241" s="73"/>
      <c r="AE241" s="73"/>
      <c r="AF241" s="75">
        <v>96613000</v>
      </c>
      <c r="AG241" s="76"/>
      <c r="AH241" s="75">
        <v>1180976000</v>
      </c>
      <c r="AI241" s="75"/>
      <c r="AJ241" s="82">
        <v>40383000</v>
      </c>
      <c r="AK241" s="76"/>
      <c r="AL241" s="82"/>
      <c r="AM241" s="76"/>
      <c r="AN241" s="75">
        <v>474431000</v>
      </c>
      <c r="AO241" s="76"/>
      <c r="AP241" s="73"/>
      <c r="AQ241" s="75"/>
      <c r="AR241" s="77"/>
      <c r="AS241" s="75"/>
      <c r="AT241" s="75">
        <v>265250000</v>
      </c>
      <c r="AU241" s="77"/>
      <c r="AV241" s="78"/>
      <c r="AW241" s="90"/>
      <c r="AX241" s="125">
        <v>12761735000</v>
      </c>
      <c r="AY241" s="79"/>
      <c r="AZ241" s="125">
        <f>(11611132000+AX241)/2</f>
        <v>12186433500</v>
      </c>
      <c r="BA241" s="125">
        <f>(403306000+188816000)/2</f>
        <v>296061000</v>
      </c>
      <c r="BB241" s="125">
        <v>760371000</v>
      </c>
    </row>
    <row r="242" spans="1:54" x14ac:dyDescent="0.25">
      <c r="A242" s="8" t="s">
        <v>489</v>
      </c>
      <c r="B242" s="8" t="s">
        <v>430</v>
      </c>
      <c r="C242" s="18" t="s">
        <v>503</v>
      </c>
      <c r="D242" s="73" t="s">
        <v>199</v>
      </c>
      <c r="E242" s="73" t="s">
        <v>251</v>
      </c>
      <c r="F242" s="142">
        <v>1</v>
      </c>
      <c r="G242" s="74">
        <v>23431340</v>
      </c>
      <c r="H242" s="74"/>
      <c r="I242" s="75">
        <v>218671</v>
      </c>
      <c r="J242" s="109">
        <v>265830000</v>
      </c>
      <c r="K242" s="76"/>
      <c r="L242" s="75">
        <v>123157000</v>
      </c>
      <c r="M242" s="76"/>
      <c r="N242" s="75"/>
      <c r="O242" s="77"/>
      <c r="P242" s="75">
        <v>23900000</v>
      </c>
      <c r="Q242" s="77"/>
      <c r="R242" s="75">
        <f>J242-L242</f>
        <v>142673000</v>
      </c>
      <c r="S242" s="76"/>
      <c r="T242" s="109">
        <v>4354000</v>
      </c>
      <c r="U242" s="75"/>
      <c r="V242" s="75"/>
      <c r="W242" s="75"/>
      <c r="X242" s="75">
        <v>7735413</v>
      </c>
      <c r="Y242" s="77"/>
      <c r="Z242" s="75">
        <v>12640069</v>
      </c>
      <c r="AA242" s="77"/>
      <c r="AB242" s="75">
        <f>Z242+X242</f>
        <v>20375482</v>
      </c>
      <c r="AC242" s="77"/>
      <c r="AD242" s="75"/>
      <c r="AE242" s="75"/>
      <c r="AF242" s="75">
        <v>53254000</v>
      </c>
      <c r="AG242" s="76"/>
      <c r="AH242" s="75">
        <v>274652000</v>
      </c>
      <c r="AI242" s="75"/>
      <c r="AJ242" s="82">
        <v>12509000</v>
      </c>
      <c r="AK242" s="76"/>
      <c r="AL242" s="82">
        <v>12603000</v>
      </c>
      <c r="AM242" s="76"/>
      <c r="AN242" s="75">
        <v>47866000</v>
      </c>
      <c r="AO242" s="76"/>
      <c r="AP242" s="75"/>
      <c r="AQ242" s="75"/>
      <c r="AR242" s="77"/>
      <c r="AS242" s="75"/>
      <c r="AT242" s="75">
        <f>J242-AH242</f>
        <v>-8822000</v>
      </c>
      <c r="AU242" s="77"/>
      <c r="AV242" s="78"/>
      <c r="AW242" s="79"/>
      <c r="AX242" s="125">
        <v>2571225000</v>
      </c>
      <c r="AY242" s="79"/>
      <c r="AZ242" s="125">
        <f>(AX242+2230256000)/2</f>
        <v>2400740500</v>
      </c>
      <c r="BA242" s="125">
        <v>145942000</v>
      </c>
      <c r="BB242" s="125">
        <v>55339758</v>
      </c>
    </row>
    <row r="243" spans="1:54" x14ac:dyDescent="0.25">
      <c r="A243" s="8" t="s">
        <v>489</v>
      </c>
      <c r="B243" s="8" t="s">
        <v>430</v>
      </c>
      <c r="C243" s="18" t="s">
        <v>504</v>
      </c>
      <c r="D243" s="73" t="s">
        <v>199</v>
      </c>
      <c r="E243" s="73" t="s">
        <v>251</v>
      </c>
      <c r="F243" s="142">
        <v>1</v>
      </c>
      <c r="G243" s="109">
        <v>57780300</v>
      </c>
      <c r="H243" s="109"/>
      <c r="I243" s="75">
        <v>474387</v>
      </c>
      <c r="J243" s="109">
        <v>1063802000</v>
      </c>
      <c r="K243" s="76"/>
      <c r="L243" s="75">
        <v>670282000</v>
      </c>
      <c r="M243" s="76"/>
      <c r="N243" s="75"/>
      <c r="O243" s="77"/>
      <c r="P243" s="75">
        <v>241939622</v>
      </c>
      <c r="Q243" s="77"/>
      <c r="R243" s="75">
        <f>J243-L243</f>
        <v>393520000</v>
      </c>
      <c r="S243" s="76"/>
      <c r="T243" s="75"/>
      <c r="U243" s="75"/>
      <c r="V243" s="75"/>
      <c r="W243" s="75"/>
      <c r="X243" s="75">
        <v>51346471</v>
      </c>
      <c r="Y243" s="77"/>
      <c r="Z243" s="75">
        <v>27873943</v>
      </c>
      <c r="AA243" s="77"/>
      <c r="AB243" s="75">
        <f>Z243+X243</f>
        <v>79220414</v>
      </c>
      <c r="AC243" s="77"/>
      <c r="AD243" s="75"/>
      <c r="AE243" s="75"/>
      <c r="AF243" s="75">
        <v>151731000</v>
      </c>
      <c r="AG243" s="76"/>
      <c r="AH243" s="75">
        <v>770186000</v>
      </c>
      <c r="AI243" s="75"/>
      <c r="AJ243" s="82">
        <v>23800000</v>
      </c>
      <c r="AK243" s="76"/>
      <c r="AL243" s="82">
        <v>34038000</v>
      </c>
      <c r="AM243" s="76"/>
      <c r="AN243" s="75">
        <v>312792000</v>
      </c>
      <c r="AO243" s="76"/>
      <c r="AP243" s="75"/>
      <c r="AQ243" s="75"/>
      <c r="AR243" s="77"/>
      <c r="AS243" s="75"/>
      <c r="AT243" s="75">
        <f>J243-AH243</f>
        <v>293616000</v>
      </c>
      <c r="AU243" s="77"/>
      <c r="AV243" s="78"/>
      <c r="AW243" s="79"/>
      <c r="AX243" s="125">
        <v>7590713000</v>
      </c>
      <c r="AY243" s="79"/>
      <c r="AZ243" s="125">
        <f>(5887803000+AX243)/2</f>
        <v>6739258000</v>
      </c>
      <c r="BA243" s="125">
        <v>272022000</v>
      </c>
      <c r="BB243" s="125">
        <v>502850000</v>
      </c>
    </row>
    <row r="244" spans="1:54" x14ac:dyDescent="0.25">
      <c r="A244" s="8" t="s">
        <v>489</v>
      </c>
      <c r="B244" s="8" t="s">
        <v>430</v>
      </c>
      <c r="C244" s="18" t="s">
        <v>505</v>
      </c>
      <c r="D244" s="73" t="s">
        <v>527</v>
      </c>
      <c r="E244" s="73" t="s">
        <v>251</v>
      </c>
      <c r="F244" s="142">
        <v>1</v>
      </c>
      <c r="G244" s="109">
        <v>49850000</v>
      </c>
      <c r="H244" s="109"/>
      <c r="I244" s="75">
        <v>438391</v>
      </c>
      <c r="J244" s="109">
        <v>548974000</v>
      </c>
      <c r="K244" s="76"/>
      <c r="L244" s="75">
        <v>291268000</v>
      </c>
      <c r="M244" s="76"/>
      <c r="N244" s="75"/>
      <c r="O244" s="77"/>
      <c r="P244" s="75">
        <v>104137335</v>
      </c>
      <c r="Q244" s="77"/>
      <c r="R244" s="75">
        <v>257706000</v>
      </c>
      <c r="S244" s="76"/>
      <c r="T244" s="75"/>
      <c r="U244" s="75"/>
      <c r="V244" s="75"/>
      <c r="W244" s="75"/>
      <c r="X244" s="75">
        <v>24030425</v>
      </c>
      <c r="Y244" s="77"/>
      <c r="Z244" s="75">
        <v>23132456</v>
      </c>
      <c r="AA244" s="77"/>
      <c r="AB244" s="75">
        <f>X244+Z244</f>
        <v>47162881</v>
      </c>
      <c r="AC244" s="77"/>
      <c r="AD244" s="75"/>
      <c r="AE244" s="75"/>
      <c r="AF244" s="75">
        <v>80212000</v>
      </c>
      <c r="AG244" s="76"/>
      <c r="AH244" s="75">
        <v>443052026</v>
      </c>
      <c r="AI244" s="75"/>
      <c r="AJ244" s="82">
        <v>18762168</v>
      </c>
      <c r="AK244" s="76"/>
      <c r="AL244" s="82">
        <v>84158925</v>
      </c>
      <c r="AM244" s="76"/>
      <c r="AN244" s="75">
        <v>117162533</v>
      </c>
      <c r="AO244" s="76"/>
      <c r="AP244" s="75"/>
      <c r="AQ244" s="75"/>
      <c r="AR244" s="77"/>
      <c r="AS244" s="75"/>
      <c r="AT244" s="75">
        <v>105922705</v>
      </c>
      <c r="AU244" s="77"/>
      <c r="AV244" s="78"/>
      <c r="AW244" s="79"/>
      <c r="AX244" s="125"/>
      <c r="AY244" s="79"/>
      <c r="AZ244" s="125"/>
      <c r="BA244" s="125"/>
      <c r="BB244" s="125"/>
    </row>
    <row r="245" spans="1:54" ht="12" customHeight="1" x14ac:dyDescent="0.25">
      <c r="A245" s="8" t="s">
        <v>489</v>
      </c>
      <c r="B245" s="8" t="s">
        <v>430</v>
      </c>
      <c r="C245" s="18" t="s">
        <v>558</v>
      </c>
      <c r="D245" s="73" t="s">
        <v>199</v>
      </c>
      <c r="E245" s="73" t="s">
        <v>251</v>
      </c>
      <c r="F245" s="142">
        <v>1</v>
      </c>
      <c r="G245" s="109">
        <v>55327328</v>
      </c>
      <c r="H245" s="109"/>
      <c r="I245" s="75">
        <v>735405</v>
      </c>
      <c r="J245" s="109">
        <v>510864000</v>
      </c>
      <c r="K245" s="76"/>
      <c r="L245" s="75">
        <v>95799000</v>
      </c>
      <c r="M245" s="76"/>
      <c r="N245" s="75"/>
      <c r="O245" s="77"/>
      <c r="P245" s="75"/>
      <c r="Q245" s="77"/>
      <c r="R245" s="75"/>
      <c r="S245" s="76"/>
      <c r="T245" s="75"/>
      <c r="U245" s="75"/>
      <c r="V245" s="75"/>
      <c r="W245" s="75"/>
      <c r="X245" s="75"/>
      <c r="Y245" s="77"/>
      <c r="Z245" s="75"/>
      <c r="AA245" s="77"/>
      <c r="AB245" s="75"/>
      <c r="AC245" s="77"/>
      <c r="AD245" s="75"/>
      <c r="AE245" s="75"/>
      <c r="AF245" s="75">
        <v>103961000</v>
      </c>
      <c r="AG245" s="76"/>
      <c r="AH245" s="75">
        <v>511157000</v>
      </c>
      <c r="AI245" s="75"/>
      <c r="AJ245" s="82"/>
      <c r="AK245" s="76"/>
      <c r="AL245" s="82">
        <v>335104000</v>
      </c>
      <c r="AM245" s="76"/>
      <c r="AN245" s="75"/>
      <c r="AO245" s="76"/>
      <c r="AP245" s="75"/>
      <c r="AQ245" s="75"/>
      <c r="AR245" s="77"/>
      <c r="AS245" s="75"/>
      <c r="AT245" s="75">
        <v>-293000</v>
      </c>
      <c r="AU245" s="77"/>
      <c r="AV245" s="78"/>
      <c r="AW245" s="79"/>
      <c r="AX245" s="125">
        <v>4260039000</v>
      </c>
      <c r="AY245" s="79"/>
      <c r="AZ245" s="125">
        <v>4228168000</v>
      </c>
      <c r="BA245" s="125">
        <v>218419000</v>
      </c>
      <c r="BB245" s="125">
        <v>181229000</v>
      </c>
    </row>
    <row r="246" spans="1:54" ht="12" customHeight="1" x14ac:dyDescent="0.25">
      <c r="A246" s="8" t="s">
        <v>489</v>
      </c>
      <c r="B246" s="8" t="s">
        <v>430</v>
      </c>
      <c r="C246" s="18" t="s">
        <v>559</v>
      </c>
      <c r="D246" s="73" t="s">
        <v>199</v>
      </c>
      <c r="E246" s="73" t="s">
        <v>251</v>
      </c>
      <c r="F246" s="142">
        <v>1</v>
      </c>
      <c r="G246" s="109">
        <v>41506035</v>
      </c>
      <c r="H246" s="109"/>
      <c r="I246" s="75">
        <v>451512</v>
      </c>
      <c r="J246" s="109">
        <v>400969098</v>
      </c>
      <c r="K246" s="76"/>
      <c r="L246" s="75">
        <v>245602376</v>
      </c>
      <c r="M246" s="76"/>
      <c r="N246" s="75"/>
      <c r="O246" s="77"/>
      <c r="P246" s="75">
        <v>69234493</v>
      </c>
      <c r="Q246" s="77"/>
      <c r="R246" s="75">
        <v>155366722</v>
      </c>
      <c r="S246" s="76"/>
      <c r="T246" s="75"/>
      <c r="U246" s="75"/>
      <c r="V246" s="75"/>
      <c r="W246" s="75"/>
      <c r="X246" s="75">
        <v>9212814</v>
      </c>
      <c r="Y246" s="77"/>
      <c r="Z246" s="75">
        <v>9135773</v>
      </c>
      <c r="AA246" s="77"/>
      <c r="AB246" s="75">
        <f t="shared" ref="AB246:AB254" si="37">X246+Z246</f>
        <v>18348587</v>
      </c>
      <c r="AC246" s="77"/>
      <c r="AD246" s="75"/>
      <c r="AE246" s="75"/>
      <c r="AF246" s="75">
        <v>86229297</v>
      </c>
      <c r="AG246" s="76"/>
      <c r="AH246" s="75">
        <v>389746817</v>
      </c>
      <c r="AI246" s="75"/>
      <c r="AJ246" s="82">
        <v>16215066</v>
      </c>
      <c r="AK246" s="76"/>
      <c r="AL246" s="82">
        <v>93150615</v>
      </c>
      <c r="AM246" s="76"/>
      <c r="AN246" s="75">
        <v>96996105</v>
      </c>
      <c r="AO246" s="76"/>
      <c r="AP246" s="75"/>
      <c r="AQ246" s="75"/>
      <c r="AR246" s="77"/>
      <c r="AS246" s="75"/>
      <c r="AT246" s="75"/>
      <c r="AU246" s="77"/>
      <c r="AV246" s="78"/>
      <c r="AW246" s="79"/>
      <c r="AX246" s="125"/>
      <c r="AY246" s="79"/>
      <c r="AZ246" s="125"/>
      <c r="BA246" s="125"/>
      <c r="BB246" s="125"/>
    </row>
    <row r="247" spans="1:54" x14ac:dyDescent="0.25">
      <c r="A247" s="8" t="s">
        <v>489</v>
      </c>
      <c r="B247" s="8" t="s">
        <v>430</v>
      </c>
      <c r="C247" s="18" t="s">
        <v>506</v>
      </c>
      <c r="D247" s="73" t="s">
        <v>552</v>
      </c>
      <c r="E247" s="73" t="s">
        <v>251</v>
      </c>
      <c r="F247" s="142">
        <v>1</v>
      </c>
      <c r="G247" s="109">
        <v>69000000</v>
      </c>
      <c r="H247" s="109"/>
      <c r="I247" s="75">
        <v>662000</v>
      </c>
      <c r="J247" s="74">
        <v>929437000</v>
      </c>
      <c r="K247" s="76"/>
      <c r="L247" s="75">
        <v>466472000</v>
      </c>
      <c r="M247" s="76"/>
      <c r="N247" s="75"/>
      <c r="O247" s="77"/>
      <c r="P247" s="75">
        <v>132922000</v>
      </c>
      <c r="Q247" s="77"/>
      <c r="R247" s="75">
        <v>462965000</v>
      </c>
      <c r="S247" s="76"/>
      <c r="T247" s="75"/>
      <c r="U247" s="75"/>
      <c r="V247" s="75"/>
      <c r="W247" s="75"/>
      <c r="X247" s="75">
        <v>23918231</v>
      </c>
      <c r="Y247" s="77"/>
      <c r="Z247" s="75">
        <v>35602194</v>
      </c>
      <c r="AA247" s="77"/>
      <c r="AB247" s="75">
        <f t="shared" si="37"/>
        <v>59520425</v>
      </c>
      <c r="AC247" s="77"/>
      <c r="AD247" s="75"/>
      <c r="AE247" s="75"/>
      <c r="AF247" s="75">
        <v>151859000</v>
      </c>
      <c r="AG247" s="76"/>
      <c r="AH247" s="75">
        <v>815922000</v>
      </c>
      <c r="AI247" s="75"/>
      <c r="AJ247" s="82">
        <v>26721000</v>
      </c>
      <c r="AK247" s="76"/>
      <c r="AL247" s="82">
        <v>49764395</v>
      </c>
      <c r="AM247" s="76"/>
      <c r="AN247" s="75">
        <v>222892000</v>
      </c>
      <c r="AO247" s="76"/>
      <c r="AP247" s="75"/>
      <c r="AQ247" s="75"/>
      <c r="AR247" s="77"/>
      <c r="AS247" s="75"/>
      <c r="AT247" s="75">
        <v>815922000</v>
      </c>
      <c r="AU247" s="77"/>
      <c r="AV247" s="78"/>
      <c r="AW247" s="79"/>
      <c r="AX247" s="125">
        <v>7569721000</v>
      </c>
      <c r="AY247" s="79"/>
      <c r="AZ247" s="125">
        <f>(7351889000+AX247)/2</f>
        <v>7460805000</v>
      </c>
      <c r="BA247" s="125">
        <v>523084000</v>
      </c>
      <c r="BB247" s="125">
        <v>409878000</v>
      </c>
    </row>
    <row r="248" spans="1:54" x14ac:dyDescent="0.25">
      <c r="A248" s="8" t="s">
        <v>489</v>
      </c>
      <c r="B248" s="8" t="s">
        <v>430</v>
      </c>
      <c r="C248" s="18" t="s">
        <v>507</v>
      </c>
      <c r="D248" s="73" t="s">
        <v>199</v>
      </c>
      <c r="E248" s="73" t="s">
        <v>251</v>
      </c>
      <c r="F248" s="142">
        <v>1</v>
      </c>
      <c r="G248" s="109">
        <v>105200000</v>
      </c>
      <c r="H248" s="109"/>
      <c r="I248" s="75">
        <v>884771</v>
      </c>
      <c r="J248" s="74">
        <v>525477000</v>
      </c>
      <c r="K248" s="76"/>
      <c r="L248" s="75"/>
      <c r="M248" s="76"/>
      <c r="N248" s="75"/>
      <c r="O248" s="77"/>
      <c r="P248" s="75"/>
      <c r="Q248" s="77"/>
      <c r="R248" s="75"/>
      <c r="S248" s="76"/>
      <c r="T248" s="75"/>
      <c r="U248" s="75"/>
      <c r="V248" s="75"/>
      <c r="W248" s="75"/>
      <c r="X248" s="75">
        <v>50407660</v>
      </c>
      <c r="Y248" s="77"/>
      <c r="Z248" s="75">
        <v>52624693</v>
      </c>
      <c r="AA248" s="77"/>
      <c r="AB248" s="75">
        <f t="shared" si="37"/>
        <v>103032353</v>
      </c>
      <c r="AC248" s="77"/>
      <c r="AD248" s="75"/>
      <c r="AE248" s="75"/>
      <c r="AF248" s="75">
        <v>147609000</v>
      </c>
      <c r="AG248" s="76"/>
      <c r="AH248" s="75">
        <v>557060000</v>
      </c>
      <c r="AI248" s="75"/>
      <c r="AJ248" s="82">
        <v>9584000</v>
      </c>
      <c r="AK248" s="76"/>
      <c r="AL248" s="82">
        <v>147218000</v>
      </c>
      <c r="AM248" s="76"/>
      <c r="AN248" s="75">
        <v>95745000</v>
      </c>
      <c r="AO248" s="76"/>
      <c r="AP248" s="75"/>
      <c r="AQ248" s="75"/>
      <c r="AR248" s="77"/>
      <c r="AS248" s="75"/>
      <c r="AT248" s="75">
        <f>J248-AH248</f>
        <v>-31583000</v>
      </c>
      <c r="AU248" s="77"/>
      <c r="AV248" s="78"/>
      <c r="AW248" s="79"/>
      <c r="AX248" s="125">
        <v>8527647000</v>
      </c>
      <c r="AY248" s="79"/>
      <c r="AZ248" s="125">
        <f>(8328315000+AX248)/2</f>
        <v>8427981000</v>
      </c>
      <c r="BA248" s="125">
        <v>218509000</v>
      </c>
      <c r="BB248" s="125">
        <v>252087000</v>
      </c>
    </row>
    <row r="249" spans="1:54" x14ac:dyDescent="0.25">
      <c r="A249" s="8" t="s">
        <v>489</v>
      </c>
      <c r="B249" s="8" t="s">
        <v>430</v>
      </c>
      <c r="C249" s="18" t="s">
        <v>508</v>
      </c>
      <c r="D249" s="73" t="s">
        <v>533</v>
      </c>
      <c r="E249" s="73" t="s">
        <v>251</v>
      </c>
      <c r="F249" s="142">
        <v>1</v>
      </c>
      <c r="G249" s="109">
        <v>69248241</v>
      </c>
      <c r="H249" s="109"/>
      <c r="I249" s="75">
        <v>785629</v>
      </c>
      <c r="J249" s="74">
        <v>1061913000</v>
      </c>
      <c r="K249" s="76"/>
      <c r="L249" s="75">
        <v>774485531</v>
      </c>
      <c r="M249" s="76"/>
      <c r="N249" s="75"/>
      <c r="O249" s="77"/>
      <c r="P249" s="75">
        <v>335356896</v>
      </c>
      <c r="Q249" s="77"/>
      <c r="R249" s="75">
        <v>1061913580</v>
      </c>
      <c r="S249" s="76"/>
      <c r="T249" s="75"/>
      <c r="U249" s="75"/>
      <c r="V249" s="75"/>
      <c r="W249" s="75"/>
      <c r="X249" s="75">
        <v>56918758</v>
      </c>
      <c r="Y249" s="77"/>
      <c r="Z249" s="75">
        <v>57972020</v>
      </c>
      <c r="AA249" s="77"/>
      <c r="AB249" s="75">
        <f t="shared" si="37"/>
        <v>114890778</v>
      </c>
      <c r="AC249" s="77"/>
      <c r="AD249" s="75"/>
      <c r="AE249" s="75"/>
      <c r="AF249" s="75">
        <v>106628969</v>
      </c>
      <c r="AG249" s="76"/>
      <c r="AH249" s="75">
        <v>991951000</v>
      </c>
      <c r="AI249" s="75"/>
      <c r="AJ249" s="82">
        <v>105526773</v>
      </c>
      <c r="AK249" s="76"/>
      <c r="AL249" s="82">
        <v>38124175</v>
      </c>
      <c r="AM249" s="76"/>
      <c r="AN249" s="75">
        <v>324857318</v>
      </c>
      <c r="AO249" s="76"/>
      <c r="AP249" s="75"/>
      <c r="AQ249" s="75"/>
      <c r="AR249" s="77"/>
      <c r="AS249" s="75"/>
      <c r="AT249" s="75">
        <v>69962000</v>
      </c>
      <c r="AU249" s="77"/>
      <c r="AV249" s="78"/>
      <c r="AW249" s="79"/>
      <c r="AX249" s="125">
        <v>13689323000</v>
      </c>
      <c r="AY249" s="79"/>
      <c r="AZ249" s="125">
        <f>(12249721000+AX249)/2</f>
        <v>12969522000</v>
      </c>
      <c r="BA249" s="125">
        <v>385522000</v>
      </c>
      <c r="BB249" s="125">
        <v>520670000</v>
      </c>
    </row>
    <row r="250" spans="1:54" ht="16.5" customHeight="1" x14ac:dyDescent="0.25">
      <c r="A250" s="8" t="s">
        <v>489</v>
      </c>
      <c r="B250" s="8" t="s">
        <v>430</v>
      </c>
      <c r="C250" s="18" t="s">
        <v>509</v>
      </c>
      <c r="D250" s="73" t="s">
        <v>199</v>
      </c>
      <c r="E250" s="73" t="s">
        <v>251</v>
      </c>
      <c r="F250" s="142">
        <v>1</v>
      </c>
      <c r="G250" s="109">
        <f>24632922*2</f>
        <v>49265844</v>
      </c>
      <c r="H250" s="109"/>
      <c r="I250" s="75">
        <v>540134</v>
      </c>
      <c r="J250" s="74">
        <v>530799843</v>
      </c>
      <c r="K250" s="76"/>
      <c r="L250" s="75">
        <v>279526044</v>
      </c>
      <c r="M250" s="76"/>
      <c r="N250" s="75"/>
      <c r="O250" s="77"/>
      <c r="P250" s="75">
        <v>51021000</v>
      </c>
      <c r="Q250" s="77"/>
      <c r="R250" s="75">
        <v>251273799</v>
      </c>
      <c r="S250" s="76"/>
      <c r="T250" s="75"/>
      <c r="U250" s="75"/>
      <c r="V250" s="75"/>
      <c r="W250" s="75"/>
      <c r="X250" s="75">
        <v>28978676</v>
      </c>
      <c r="Y250" s="77"/>
      <c r="Z250" s="75">
        <v>27279374</v>
      </c>
      <c r="AA250" s="77"/>
      <c r="AB250" s="75">
        <f t="shared" si="37"/>
        <v>56258050</v>
      </c>
      <c r="AC250" s="77"/>
      <c r="AD250" s="75"/>
      <c r="AE250" s="75"/>
      <c r="AF250" s="75">
        <v>39002000</v>
      </c>
      <c r="AG250" s="76"/>
      <c r="AH250" s="75">
        <v>454267053</v>
      </c>
      <c r="AI250" s="75"/>
      <c r="AJ250" s="82">
        <v>23080180</v>
      </c>
      <c r="AK250" s="76"/>
      <c r="AL250" s="82">
        <v>23066592</v>
      </c>
      <c r="AM250" s="76"/>
      <c r="AN250" s="75">
        <v>134271702</v>
      </c>
      <c r="AO250" s="76"/>
      <c r="AP250" s="75"/>
      <c r="AQ250" s="75"/>
      <c r="AR250" s="77"/>
      <c r="AS250" s="75"/>
      <c r="AT250" s="75">
        <v>76532790</v>
      </c>
      <c r="AU250" s="77"/>
      <c r="AV250" s="78"/>
      <c r="AW250" s="79"/>
      <c r="AX250" s="125">
        <f xml:space="preserve"> 5841616000</f>
        <v>5841616000</v>
      </c>
      <c r="AY250" s="79"/>
      <c r="AZ250" s="125">
        <v>5885175000</v>
      </c>
      <c r="BA250" s="125">
        <v>344803000</v>
      </c>
      <c r="BB250" s="125">
        <v>324181000</v>
      </c>
    </row>
    <row r="251" spans="1:54" x14ac:dyDescent="0.25">
      <c r="A251" s="8" t="s">
        <v>489</v>
      </c>
      <c r="B251" s="8" t="s">
        <v>430</v>
      </c>
      <c r="C251" s="18" t="s">
        <v>510</v>
      </c>
      <c r="D251" s="73" t="s">
        <v>552</v>
      </c>
      <c r="E251" s="73" t="s">
        <v>251</v>
      </c>
      <c r="F251" s="142">
        <v>1</v>
      </c>
      <c r="G251" s="109">
        <f>22220423*2</f>
        <v>44440846</v>
      </c>
      <c r="H251" s="109"/>
      <c r="I251" s="75">
        <v>415781</v>
      </c>
      <c r="J251" s="74">
        <v>821509407</v>
      </c>
      <c r="K251" s="76"/>
      <c r="L251" s="75">
        <v>529915664</v>
      </c>
      <c r="M251" s="76"/>
      <c r="N251" s="75"/>
      <c r="O251" s="77"/>
      <c r="P251" s="75">
        <v>48279793</v>
      </c>
      <c r="Q251" s="77"/>
      <c r="R251" s="75">
        <v>291593743</v>
      </c>
      <c r="S251" s="76"/>
      <c r="T251" s="75"/>
      <c r="U251" s="75"/>
      <c r="V251" s="75"/>
      <c r="W251" s="75"/>
      <c r="X251" s="75">
        <v>47373140</v>
      </c>
      <c r="Y251" s="77"/>
      <c r="Z251" s="75">
        <v>27696268</v>
      </c>
      <c r="AA251" s="77"/>
      <c r="AB251" s="75">
        <f t="shared" si="37"/>
        <v>75069408</v>
      </c>
      <c r="AC251" s="77"/>
      <c r="AD251" s="75"/>
      <c r="AE251" s="75"/>
      <c r="AF251" s="75">
        <v>43607001</v>
      </c>
      <c r="AG251" s="76"/>
      <c r="AH251" s="75">
        <v>737169158</v>
      </c>
      <c r="AI251" s="75"/>
      <c r="AJ251" s="82">
        <v>48038020</v>
      </c>
      <c r="AK251" s="76"/>
      <c r="AL251" s="82">
        <v>57990365</v>
      </c>
      <c r="AM251" s="76"/>
      <c r="AN251" s="75">
        <v>176088956</v>
      </c>
      <c r="AO251" s="76"/>
      <c r="AP251" s="75"/>
      <c r="AQ251" s="75"/>
      <c r="AR251" s="77"/>
      <c r="AS251" s="75"/>
      <c r="AT251" s="75">
        <v>84340249</v>
      </c>
      <c r="AU251" s="77"/>
      <c r="AV251" s="78"/>
      <c r="AW251" s="79"/>
      <c r="AX251" s="125">
        <v>7461905001</v>
      </c>
      <c r="AY251" s="79"/>
      <c r="AZ251" s="125">
        <f>(7485894000+AX251)/2</f>
        <v>7473899500.5</v>
      </c>
      <c r="BA251" s="125">
        <v>356685000</v>
      </c>
      <c r="BB251" s="125">
        <v>352210000</v>
      </c>
    </row>
    <row r="252" spans="1:54" x14ac:dyDescent="0.25">
      <c r="A252" s="8" t="s">
        <v>489</v>
      </c>
      <c r="B252" s="8" t="s">
        <v>430</v>
      </c>
      <c r="C252" s="18" t="s">
        <v>560</v>
      </c>
      <c r="D252" s="73" t="s">
        <v>199</v>
      </c>
      <c r="E252" s="73" t="s">
        <v>251</v>
      </c>
      <c r="F252" s="142">
        <v>1</v>
      </c>
      <c r="G252" s="109">
        <f>22218915*2</f>
        <v>44437830</v>
      </c>
      <c r="H252" s="109"/>
      <c r="I252" s="75"/>
      <c r="J252" s="74">
        <v>373893000</v>
      </c>
      <c r="K252" s="76"/>
      <c r="L252" s="75">
        <v>160900000</v>
      </c>
      <c r="M252" s="76"/>
      <c r="N252" s="75"/>
      <c r="O252" s="77"/>
      <c r="P252" s="75">
        <v>8412000</v>
      </c>
      <c r="Q252" s="77"/>
      <c r="R252" s="75">
        <v>212933000</v>
      </c>
      <c r="S252" s="76"/>
      <c r="T252" s="75"/>
      <c r="U252" s="75"/>
      <c r="V252" s="75"/>
      <c r="W252" s="75"/>
      <c r="X252" s="75">
        <v>11210000</v>
      </c>
      <c r="Y252" s="77"/>
      <c r="Z252" s="75">
        <v>22457000</v>
      </c>
      <c r="AA252" s="77"/>
      <c r="AB252" s="75">
        <f t="shared" si="37"/>
        <v>33667000</v>
      </c>
      <c r="AC252" s="77"/>
      <c r="AD252" s="75"/>
      <c r="AE252" s="75"/>
      <c r="AF252" s="75">
        <v>88910000</v>
      </c>
      <c r="AG252" s="76"/>
      <c r="AH252" s="75">
        <v>440095073</v>
      </c>
      <c r="AI252" s="75"/>
      <c r="AJ252" s="82">
        <v>445339000</v>
      </c>
      <c r="AK252" s="76"/>
      <c r="AL252" s="82"/>
      <c r="AM252" s="76"/>
      <c r="AN252" s="75">
        <v>134785000</v>
      </c>
      <c r="AO252" s="76"/>
      <c r="AP252" s="75"/>
      <c r="AQ252" s="75"/>
      <c r="AR252" s="77"/>
      <c r="AS252" s="75"/>
      <c r="AT252" s="78">
        <v>-22513628</v>
      </c>
      <c r="AU252" s="77"/>
      <c r="AV252" s="78"/>
      <c r="AW252" s="79"/>
      <c r="AX252" s="125">
        <v>3705181000</v>
      </c>
      <c r="AY252" s="79"/>
      <c r="AZ252" s="125">
        <f>(3601331000+AX252)/2</f>
        <v>3653256000</v>
      </c>
      <c r="BA252" s="125">
        <f>(42952+312230)*1000</f>
        <v>355182000</v>
      </c>
      <c r="BB252" s="125">
        <v>112105000</v>
      </c>
    </row>
    <row r="253" spans="1:54" x14ac:dyDescent="0.25">
      <c r="A253" s="8" t="s">
        <v>489</v>
      </c>
      <c r="B253" s="8" t="s">
        <v>430</v>
      </c>
      <c r="C253" s="18" t="s">
        <v>511</v>
      </c>
      <c r="D253" s="73" t="s">
        <v>527</v>
      </c>
      <c r="E253" s="73" t="s">
        <v>251</v>
      </c>
      <c r="F253" s="142">
        <v>1</v>
      </c>
      <c r="G253" s="109">
        <f>23018686*2</f>
        <v>46037372</v>
      </c>
      <c r="H253" s="109"/>
      <c r="I253" s="75"/>
      <c r="J253" s="74">
        <v>1010284342</v>
      </c>
      <c r="K253" s="76"/>
      <c r="L253" s="75">
        <v>281864636</v>
      </c>
      <c r="M253" s="76"/>
      <c r="N253" s="75"/>
      <c r="O253" s="77"/>
      <c r="P253" s="75"/>
      <c r="Q253" s="77"/>
      <c r="R253" s="75">
        <v>281864636</v>
      </c>
      <c r="S253" s="76"/>
      <c r="T253" s="75"/>
      <c r="U253" s="75"/>
      <c r="V253" s="75"/>
      <c r="W253" s="75"/>
      <c r="X253" s="75">
        <v>29969770</v>
      </c>
      <c r="Y253" s="77"/>
      <c r="Z253" s="75">
        <f>7002629</f>
        <v>7002629</v>
      </c>
      <c r="AA253" s="77"/>
      <c r="AB253" s="75">
        <f t="shared" si="37"/>
        <v>36972399</v>
      </c>
      <c r="AC253" s="77"/>
      <c r="AD253" s="75"/>
      <c r="AE253" s="75"/>
      <c r="AF253" s="75">
        <v>106744630</v>
      </c>
      <c r="AG253" s="76"/>
      <c r="AH253" s="75">
        <v>694036409</v>
      </c>
      <c r="AI253" s="75"/>
      <c r="AJ253" s="82">
        <v>27912486</v>
      </c>
      <c r="AK253" s="76"/>
      <c r="AL253" s="82">
        <v>198004736</v>
      </c>
      <c r="AM253" s="76"/>
      <c r="AN253" s="75">
        <v>178482871</v>
      </c>
      <c r="AO253" s="76"/>
      <c r="AP253" s="75"/>
      <c r="AQ253" s="75"/>
      <c r="AR253" s="77"/>
      <c r="AS253" s="75"/>
      <c r="AT253" s="75">
        <v>316247933</v>
      </c>
      <c r="AU253" s="77"/>
      <c r="AV253" s="78"/>
      <c r="AW253" s="79"/>
      <c r="AX253" s="125"/>
      <c r="AY253" s="79"/>
      <c r="AZ253" s="125"/>
      <c r="BA253" s="125"/>
      <c r="BB253" s="125"/>
    </row>
    <row r="254" spans="1:54" x14ac:dyDescent="0.25">
      <c r="A254" s="8" t="s">
        <v>489</v>
      </c>
      <c r="B254" s="8" t="s">
        <v>430</v>
      </c>
      <c r="C254" s="18" t="s">
        <v>561</v>
      </c>
      <c r="D254" s="73" t="s">
        <v>527</v>
      </c>
      <c r="E254" s="73" t="s">
        <v>251</v>
      </c>
      <c r="F254" s="142">
        <v>1</v>
      </c>
      <c r="G254" s="109">
        <v>37000000</v>
      </c>
      <c r="H254" s="109"/>
      <c r="I254" s="75"/>
      <c r="J254" s="74">
        <v>373258000</v>
      </c>
      <c r="K254" s="76"/>
      <c r="L254" s="75">
        <v>123631000</v>
      </c>
      <c r="M254" s="76"/>
      <c r="N254" s="75"/>
      <c r="O254" s="77"/>
      <c r="P254" s="75">
        <v>69000000</v>
      </c>
      <c r="Q254" s="77"/>
      <c r="R254" s="75"/>
      <c r="S254" s="76"/>
      <c r="T254" s="75"/>
      <c r="U254" s="75"/>
      <c r="V254" s="75"/>
      <c r="W254" s="75"/>
      <c r="X254" s="75">
        <v>11056000</v>
      </c>
      <c r="Y254" s="77"/>
      <c r="Z254" s="75">
        <v>24241000</v>
      </c>
      <c r="AA254" s="77"/>
      <c r="AB254" s="75">
        <f t="shared" si="37"/>
        <v>35297000</v>
      </c>
      <c r="AC254" s="77"/>
      <c r="AD254" s="75"/>
      <c r="AE254" s="75"/>
      <c r="AF254" s="75">
        <v>93887000</v>
      </c>
      <c r="AG254" s="76"/>
      <c r="AH254" s="75">
        <v>337035000</v>
      </c>
      <c r="AI254" s="75"/>
      <c r="AJ254" s="82">
        <v>19930000</v>
      </c>
      <c r="AK254" s="76"/>
      <c r="AL254" s="82">
        <v>42576000</v>
      </c>
      <c r="AM254" s="76"/>
      <c r="AN254" s="75">
        <v>86151000</v>
      </c>
      <c r="AO254" s="76"/>
      <c r="AP254" s="75"/>
      <c r="AQ254" s="75"/>
      <c r="AR254" s="77"/>
      <c r="AS254" s="75"/>
      <c r="AT254" s="78">
        <v>-22513628</v>
      </c>
      <c r="AU254" s="77"/>
      <c r="AV254" s="78"/>
      <c r="AW254" s="79"/>
      <c r="AX254" s="125">
        <v>3836361000</v>
      </c>
      <c r="AY254" s="79"/>
      <c r="AZ254" s="125">
        <f>(3876844000+AX254)/2</f>
        <v>3856602500</v>
      </c>
      <c r="BA254" s="125">
        <f>(93589000+123641000)/2</f>
        <v>108615000</v>
      </c>
      <c r="BB254" s="125">
        <v>208004000</v>
      </c>
    </row>
    <row r="255" spans="1:54" x14ac:dyDescent="0.25">
      <c r="A255" s="8" t="s">
        <v>489</v>
      </c>
      <c r="B255" s="8" t="s">
        <v>430</v>
      </c>
      <c r="C255" s="18" t="s">
        <v>512</v>
      </c>
      <c r="D255" s="73" t="s">
        <v>418</v>
      </c>
      <c r="E255" s="73" t="s">
        <v>251</v>
      </c>
      <c r="F255" s="142">
        <v>1</v>
      </c>
      <c r="G255" s="109">
        <f>15805217*2</f>
        <v>31610434</v>
      </c>
      <c r="H255" s="109"/>
      <c r="I255" s="75">
        <v>298712</v>
      </c>
      <c r="J255" s="74">
        <v>245834937</v>
      </c>
      <c r="K255" s="76"/>
      <c r="L255" s="75">
        <v>88275522</v>
      </c>
      <c r="M255" s="76">
        <f>F255*L255</f>
        <v>88275522</v>
      </c>
      <c r="N255" s="75"/>
      <c r="O255" s="77"/>
      <c r="P255" s="75">
        <v>25480322</v>
      </c>
      <c r="Q255" s="77">
        <f>P255*F255</f>
        <v>25480322</v>
      </c>
      <c r="R255" s="75">
        <v>157559415</v>
      </c>
      <c r="S255" s="76">
        <f>R255*F255</f>
        <v>157559415</v>
      </c>
      <c r="T255" s="75"/>
      <c r="U255" s="75"/>
      <c r="V255" s="75"/>
      <c r="W255" s="75"/>
      <c r="X255" s="75">
        <v>8889761</v>
      </c>
      <c r="Y255" s="77">
        <f>X255*F255</f>
        <v>8889761</v>
      </c>
      <c r="Z255" s="75">
        <v>16964000</v>
      </c>
      <c r="AA255" s="77">
        <f>Z255*F255</f>
        <v>16964000</v>
      </c>
      <c r="AB255" s="75">
        <f>Z255+X255</f>
        <v>25853761</v>
      </c>
      <c r="AC255" s="77">
        <f>AB255*F255</f>
        <v>25853761</v>
      </c>
      <c r="AD255" s="75"/>
      <c r="AE255" s="75"/>
      <c r="AF255" s="75">
        <v>56191646</v>
      </c>
      <c r="AG255" s="76">
        <f>AF255*F255</f>
        <v>56191646</v>
      </c>
      <c r="AH255" s="75">
        <f>162029534+AS255</f>
        <v>261717488</v>
      </c>
      <c r="AI255" s="75"/>
      <c r="AJ255" s="82"/>
      <c r="AK255" s="76"/>
      <c r="AL255" s="82"/>
      <c r="AM255" s="76"/>
      <c r="AN255" s="75">
        <v>41004615</v>
      </c>
      <c r="AO255" s="76">
        <f>AN255*F255</f>
        <v>41004615</v>
      </c>
      <c r="AP255" s="75">
        <v>524</v>
      </c>
      <c r="AQ255" s="75">
        <f>AS255+AT255</f>
        <v>83805403</v>
      </c>
      <c r="AR255" s="77">
        <f>AQ255*F255</f>
        <v>83805403</v>
      </c>
      <c r="AS255" s="75">
        <v>99687954</v>
      </c>
      <c r="AT255" s="93">
        <f>J255-AH255</f>
        <v>-15882551</v>
      </c>
      <c r="AU255" s="77">
        <f>AT255*F255</f>
        <v>-15882551</v>
      </c>
      <c r="AV255" s="78"/>
      <c r="AW255" s="79"/>
      <c r="AX255" s="125">
        <v>3661414000</v>
      </c>
      <c r="AY255" s="79"/>
      <c r="AZ255" s="125">
        <f>(3688683000+AX255)/2</f>
        <v>3675048500</v>
      </c>
      <c r="BA255" s="125">
        <v>235002000</v>
      </c>
      <c r="BB255" s="125">
        <v>86747000</v>
      </c>
    </row>
    <row r="256" spans="1:54" x14ac:dyDescent="0.25">
      <c r="A256" s="8" t="s">
        <v>489</v>
      </c>
      <c r="B256" s="8" t="s">
        <v>430</v>
      </c>
      <c r="C256" s="18" t="s">
        <v>513</v>
      </c>
      <c r="D256" s="73" t="s">
        <v>552</v>
      </c>
      <c r="E256" s="73" t="s">
        <v>251</v>
      </c>
      <c r="F256" s="142">
        <v>1</v>
      </c>
      <c r="G256" s="109">
        <v>8137244</v>
      </c>
      <c r="H256" s="109"/>
      <c r="I256" s="75">
        <v>232380</v>
      </c>
      <c r="J256" s="74">
        <v>128251000</v>
      </c>
      <c r="K256" s="76"/>
      <c r="L256" s="75">
        <v>63735813</v>
      </c>
      <c r="M256" s="76"/>
      <c r="N256" s="75"/>
      <c r="O256" s="77"/>
      <c r="P256" s="75">
        <v>19969788</v>
      </c>
      <c r="Q256" s="77"/>
      <c r="R256" s="75">
        <v>61642042</v>
      </c>
      <c r="S256" s="76"/>
      <c r="T256" s="75"/>
      <c r="U256" s="75"/>
      <c r="V256" s="75"/>
      <c r="W256" s="75"/>
      <c r="X256" s="75">
        <v>4834314</v>
      </c>
      <c r="Y256" s="77"/>
      <c r="Z256" s="75">
        <v>9023464</v>
      </c>
      <c r="AA256" s="77"/>
      <c r="AB256" s="75">
        <f>Z256+X256</f>
        <v>13857778</v>
      </c>
      <c r="AC256" s="77"/>
      <c r="AD256" s="75"/>
      <c r="AE256" s="75"/>
      <c r="AF256" s="75">
        <v>26016442</v>
      </c>
      <c r="AG256" s="76"/>
      <c r="AH256" s="75">
        <v>107470000</v>
      </c>
      <c r="AI256" s="75"/>
      <c r="AJ256" s="82">
        <v>5972239</v>
      </c>
      <c r="AK256" s="76"/>
      <c r="AL256" s="82">
        <v>4977104</v>
      </c>
      <c r="AM256" s="76"/>
      <c r="AN256" s="75">
        <v>21147000</v>
      </c>
      <c r="AO256" s="76"/>
      <c r="AP256" s="75"/>
      <c r="AQ256" s="75"/>
      <c r="AR256" s="77"/>
      <c r="AS256" s="75"/>
      <c r="AT256" s="93"/>
      <c r="AU256" s="77"/>
      <c r="AV256" s="78"/>
      <c r="AW256" s="79"/>
      <c r="AX256" s="125">
        <v>1399730000</v>
      </c>
      <c r="AY256" s="79"/>
      <c r="AZ256" s="125">
        <f>(1399260000+AX256)/2</f>
        <v>1399495000</v>
      </c>
      <c r="BA256" s="125">
        <v>18343000</v>
      </c>
      <c r="BB256" s="125">
        <v>53676000</v>
      </c>
    </row>
    <row r="257" spans="1:54" x14ac:dyDescent="0.25">
      <c r="A257" s="8" t="s">
        <v>489</v>
      </c>
      <c r="B257" s="8" t="s">
        <v>430</v>
      </c>
      <c r="C257" s="18" t="s">
        <v>514</v>
      </c>
      <c r="D257" s="73" t="s">
        <v>199</v>
      </c>
      <c r="E257" s="73" t="s">
        <v>251</v>
      </c>
      <c r="F257" s="142">
        <v>1</v>
      </c>
      <c r="G257" s="109">
        <f>23075044*2</f>
        <v>46150088</v>
      </c>
      <c r="H257" s="109"/>
      <c r="I257" s="75"/>
      <c r="J257" s="74">
        <v>239388000</v>
      </c>
      <c r="K257" s="76"/>
      <c r="L257" s="75">
        <v>105956693</v>
      </c>
      <c r="M257" s="76"/>
      <c r="N257" s="75"/>
      <c r="O257" s="77"/>
      <c r="P257" s="75">
        <v>26363293</v>
      </c>
      <c r="Q257" s="77"/>
      <c r="R257" s="75">
        <v>239388000</v>
      </c>
      <c r="S257" s="76"/>
      <c r="T257" s="75"/>
      <c r="U257" s="75"/>
      <c r="V257" s="75"/>
      <c r="W257" s="75"/>
      <c r="X257" s="75">
        <v>13921172</v>
      </c>
      <c r="Y257" s="77"/>
      <c r="Z257" s="75">
        <v>31371527</v>
      </c>
      <c r="AA257" s="77"/>
      <c r="AB257" s="75">
        <f>X257+Z257</f>
        <v>45292699</v>
      </c>
      <c r="AC257" s="77"/>
      <c r="AD257" s="75"/>
      <c r="AE257" s="75"/>
      <c r="AF257" s="75">
        <v>62166140</v>
      </c>
      <c r="AG257" s="76"/>
      <c r="AH257" s="75">
        <v>199633000</v>
      </c>
      <c r="AI257" s="75"/>
      <c r="AJ257" s="82">
        <v>10532325</v>
      </c>
      <c r="AK257" s="76"/>
      <c r="AL257" s="82">
        <v>21324202</v>
      </c>
      <c r="AM257" s="76"/>
      <c r="AN257" s="75">
        <v>41251321</v>
      </c>
      <c r="AO257" s="76"/>
      <c r="AP257" s="75"/>
      <c r="AQ257" s="75"/>
      <c r="AR257" s="77"/>
      <c r="AS257" s="75"/>
      <c r="AT257" s="75">
        <v>199633000</v>
      </c>
      <c r="AU257" s="77"/>
      <c r="AV257" s="78"/>
      <c r="AW257" s="79"/>
      <c r="AX257" s="125"/>
      <c r="AY257" s="79"/>
      <c r="AZ257" s="125"/>
      <c r="BA257" s="125"/>
      <c r="BB257" s="125"/>
    </row>
    <row r="258" spans="1:54" ht="15" customHeight="1" x14ac:dyDescent="0.25">
      <c r="A258" s="8" t="s">
        <v>489</v>
      </c>
      <c r="B258" s="8" t="s">
        <v>430</v>
      </c>
      <c r="C258" s="18" t="s">
        <v>515</v>
      </c>
      <c r="D258" s="73" t="s">
        <v>527</v>
      </c>
      <c r="E258" s="73" t="s">
        <v>251</v>
      </c>
      <c r="F258" s="142">
        <v>1</v>
      </c>
      <c r="G258" s="109">
        <f>375463*2</f>
        <v>750926</v>
      </c>
      <c r="H258" s="109"/>
      <c r="I258" s="75">
        <v>74401</v>
      </c>
      <c r="J258" s="74">
        <v>8046706</v>
      </c>
      <c r="K258" s="76"/>
      <c r="L258" s="75">
        <v>1840217</v>
      </c>
      <c r="M258" s="76"/>
      <c r="N258" s="75"/>
      <c r="O258" s="77"/>
      <c r="P258" s="75">
        <v>594188</v>
      </c>
      <c r="Q258" s="77"/>
      <c r="R258" s="75">
        <v>6206489</v>
      </c>
      <c r="S258" s="76"/>
      <c r="T258" s="75"/>
      <c r="U258" s="75"/>
      <c r="V258" s="75"/>
      <c r="W258" s="75"/>
      <c r="X258" s="75">
        <v>0</v>
      </c>
      <c r="Y258" s="75"/>
      <c r="Z258" s="75">
        <v>132406</v>
      </c>
      <c r="AA258" s="77"/>
      <c r="AB258" s="75">
        <f>X258+Z258</f>
        <v>132406</v>
      </c>
      <c r="AC258" s="77"/>
      <c r="AD258" s="75"/>
      <c r="AE258" s="75"/>
      <c r="AF258" s="75"/>
      <c r="AG258" s="76"/>
      <c r="AH258" s="75">
        <v>10951521</v>
      </c>
      <c r="AI258" s="75"/>
      <c r="AJ258" s="82">
        <v>469274</v>
      </c>
      <c r="AK258" s="76"/>
      <c r="AL258" s="82">
        <v>626531</v>
      </c>
      <c r="AM258" s="76"/>
      <c r="AN258" s="75">
        <v>1737709</v>
      </c>
      <c r="AO258" s="76"/>
      <c r="AP258" s="75"/>
      <c r="AQ258" s="75"/>
      <c r="AR258" s="77"/>
      <c r="AS258" s="75"/>
      <c r="AT258" s="93">
        <v>-2904815</v>
      </c>
      <c r="AU258" s="77"/>
      <c r="AV258" s="78"/>
      <c r="AW258" s="79"/>
      <c r="AX258" s="125"/>
      <c r="AY258" s="79"/>
      <c r="AZ258" s="125"/>
      <c r="BA258" s="125"/>
      <c r="BB258" s="125"/>
    </row>
    <row r="259" spans="1:54" ht="14.25" customHeight="1" x14ac:dyDescent="0.25">
      <c r="A259" s="8" t="s">
        <v>489</v>
      </c>
      <c r="B259" s="8" t="s">
        <v>430</v>
      </c>
      <c r="C259" s="18" t="s">
        <v>516</v>
      </c>
      <c r="D259" s="73" t="s">
        <v>552</v>
      </c>
      <c r="E259" s="73" t="s">
        <v>251</v>
      </c>
      <c r="F259" s="142">
        <v>1</v>
      </c>
      <c r="G259" s="109">
        <f>10519247*2</f>
        <v>21038494</v>
      </c>
      <c r="H259" s="109"/>
      <c r="I259" s="75">
        <v>204102</v>
      </c>
      <c r="J259" s="74">
        <v>222178867</v>
      </c>
      <c r="K259" s="76"/>
      <c r="L259" s="75">
        <v>64889464</v>
      </c>
      <c r="M259" s="76"/>
      <c r="N259" s="75"/>
      <c r="O259" s="77"/>
      <c r="P259" s="75">
        <v>16653004</v>
      </c>
      <c r="Q259" s="77"/>
      <c r="R259" s="75">
        <v>157289403</v>
      </c>
      <c r="S259" s="76"/>
      <c r="T259" s="75"/>
      <c r="U259" s="75"/>
      <c r="V259" s="75"/>
      <c r="W259" s="75"/>
      <c r="X259" s="75">
        <v>7902110</v>
      </c>
      <c r="Y259" s="77"/>
      <c r="Z259" s="75">
        <v>16494594</v>
      </c>
      <c r="AA259" s="77"/>
      <c r="AB259" s="75">
        <f>X259+Z259</f>
        <v>24396704</v>
      </c>
      <c r="AC259" s="77"/>
      <c r="AD259" s="75"/>
      <c r="AE259" s="75"/>
      <c r="AF259" s="75">
        <v>76134943</v>
      </c>
      <c r="AG259" s="76"/>
      <c r="AH259" s="75">
        <v>248941283</v>
      </c>
      <c r="AI259" s="75"/>
      <c r="AJ259" s="82">
        <v>13659714</v>
      </c>
      <c r="AK259" s="76"/>
      <c r="AL259" s="82">
        <v>42514358</v>
      </c>
      <c r="AM259" s="76"/>
      <c r="AN259" s="75">
        <v>66120142</v>
      </c>
      <c r="AO259" s="76"/>
      <c r="AP259" s="75"/>
      <c r="AQ259" s="75"/>
      <c r="AR259" s="77"/>
      <c r="AS259" s="75"/>
      <c r="AT259" s="93">
        <v>-26762416</v>
      </c>
      <c r="AU259" s="77"/>
      <c r="AV259" s="78"/>
      <c r="AW259" s="79"/>
      <c r="AX259" s="125">
        <v>2390328307</v>
      </c>
      <c r="AY259" s="79"/>
      <c r="AZ259" s="125">
        <f>(2377673207+AX259)/2</f>
        <v>2384000757</v>
      </c>
      <c r="BA259" s="125">
        <v>119872451</v>
      </c>
      <c r="BB259" s="125">
        <v>76437928</v>
      </c>
    </row>
    <row r="260" spans="1:54" x14ac:dyDescent="0.25">
      <c r="A260" s="8" t="s">
        <v>489</v>
      </c>
      <c r="B260" s="8" t="s">
        <v>430</v>
      </c>
      <c r="C260" s="18" t="s">
        <v>517</v>
      </c>
      <c r="D260" s="73" t="s">
        <v>96</v>
      </c>
      <c r="E260" s="73" t="s">
        <v>251</v>
      </c>
      <c r="F260" s="142">
        <v>1</v>
      </c>
      <c r="G260" s="109">
        <f>1818676*2</f>
        <v>3637352</v>
      </c>
      <c r="H260" s="109"/>
      <c r="I260" s="75">
        <v>167704</v>
      </c>
      <c r="J260" s="74">
        <v>68992145</v>
      </c>
      <c r="K260" s="76"/>
      <c r="L260" s="75">
        <v>9520213</v>
      </c>
      <c r="M260" s="76"/>
      <c r="N260" s="75"/>
      <c r="O260" s="77"/>
      <c r="P260" s="75">
        <v>2481146</v>
      </c>
      <c r="Q260" s="77"/>
      <c r="R260" s="75">
        <v>35148056</v>
      </c>
      <c r="S260" s="76"/>
      <c r="T260" s="75"/>
      <c r="U260" s="75"/>
      <c r="V260" s="75"/>
      <c r="W260" s="75"/>
      <c r="X260" s="75">
        <v>986414</v>
      </c>
      <c r="Y260" s="77"/>
      <c r="Z260" s="75">
        <v>1732458</v>
      </c>
      <c r="AA260" s="77"/>
      <c r="AB260" s="75">
        <f>X260+Z260</f>
        <v>2718872</v>
      </c>
      <c r="AC260" s="77"/>
      <c r="AD260" s="75"/>
      <c r="AE260" s="75"/>
      <c r="AF260" s="75">
        <v>17153065</v>
      </c>
      <c r="AG260" s="76"/>
      <c r="AH260" s="75">
        <v>63475823</v>
      </c>
      <c r="AI260" s="75"/>
      <c r="AJ260" s="82">
        <v>3912864</v>
      </c>
      <c r="AK260" s="76"/>
      <c r="AL260" s="82">
        <v>5800917</v>
      </c>
      <c r="AM260" s="76"/>
      <c r="AN260" s="75">
        <v>17419485</v>
      </c>
      <c r="AO260" s="76"/>
      <c r="AP260" s="75"/>
      <c r="AQ260" s="75"/>
      <c r="AR260" s="77"/>
      <c r="AS260" s="75"/>
      <c r="AT260" s="93">
        <v>5516322</v>
      </c>
      <c r="AU260" s="77"/>
      <c r="AV260" s="78"/>
      <c r="AW260" s="79"/>
      <c r="AX260" s="149"/>
      <c r="AY260" s="79"/>
      <c r="AZ260" s="125"/>
      <c r="BA260" s="125"/>
      <c r="BB260" s="125"/>
    </row>
    <row r="261" spans="1:54" x14ac:dyDescent="0.25">
      <c r="J261" s="10" t="s">
        <v>518</v>
      </c>
      <c r="K261" s="10"/>
      <c r="N261" s="12"/>
      <c r="O261" s="13"/>
      <c r="P261" s="12"/>
      <c r="Q261" s="12"/>
      <c r="R261" s="12"/>
      <c r="S261" s="13"/>
      <c r="T261" s="12"/>
      <c r="U261" s="12"/>
      <c r="V261" s="12"/>
      <c r="W261" s="12"/>
      <c r="X261" s="12"/>
      <c r="Y261" s="12"/>
      <c r="Z261" s="12"/>
      <c r="AA261" s="12"/>
      <c r="AB261" s="12"/>
      <c r="AC261" s="12"/>
      <c r="AD261" s="12"/>
      <c r="AE261" s="12"/>
      <c r="AF261" s="12"/>
      <c r="AG261" s="12"/>
      <c r="AH261" s="12"/>
      <c r="AI261" s="12"/>
      <c r="AJ261" s="12"/>
      <c r="AK261" s="12"/>
      <c r="AL261" s="15"/>
      <c r="AM261" s="12"/>
      <c r="AN261" s="12"/>
      <c r="AO261" s="12"/>
      <c r="AP261" s="12"/>
      <c r="AQ261" s="12"/>
      <c r="AR261" s="12"/>
      <c r="AS261" s="12"/>
      <c r="AT261" s="12"/>
      <c r="AU261" s="12"/>
      <c r="AV261" s="12"/>
      <c r="AW261" s="21"/>
      <c r="AX261" s="128"/>
      <c r="AY261" s="21"/>
      <c r="AZ261" s="128"/>
      <c r="BA261" s="128"/>
      <c r="BB261" s="128"/>
    </row>
    <row r="262" spans="1:54" x14ac:dyDescent="0.25">
      <c r="H262" s="27" t="s">
        <v>0</v>
      </c>
      <c r="J262" s="10"/>
      <c r="K262" s="10"/>
      <c r="N262" s="12"/>
      <c r="O262" s="13"/>
      <c r="P262" s="12"/>
      <c r="Q262" s="12"/>
      <c r="R262" s="12"/>
      <c r="S262" s="13"/>
      <c r="T262" s="12"/>
      <c r="U262" s="12"/>
      <c r="V262" s="12"/>
      <c r="W262" s="12"/>
      <c r="X262" s="12"/>
      <c r="Y262" s="12"/>
      <c r="Z262" s="12"/>
      <c r="AA262" s="12"/>
      <c r="AB262" s="12"/>
      <c r="AC262" s="12"/>
      <c r="AD262" s="12"/>
      <c r="AE262" s="12"/>
      <c r="AF262" s="12"/>
      <c r="AG262" s="12"/>
      <c r="AH262" s="12"/>
      <c r="AI262" s="12"/>
      <c r="AJ262" s="12"/>
      <c r="AK262" s="12"/>
      <c r="AL262" s="15"/>
      <c r="AM262" s="12"/>
      <c r="AN262" s="12"/>
      <c r="AO262" s="12"/>
      <c r="AP262" s="12"/>
      <c r="AQ262" s="12"/>
      <c r="AR262" s="12"/>
      <c r="AS262" s="12"/>
      <c r="AT262" s="12"/>
      <c r="AU262" s="12"/>
      <c r="AV262" s="12"/>
      <c r="AW262" s="21"/>
      <c r="AX262" s="128"/>
      <c r="AY262" s="21"/>
      <c r="AZ262" s="128"/>
      <c r="BA262" s="128"/>
      <c r="BB262" s="128"/>
    </row>
    <row r="263" spans="1:54" x14ac:dyDescent="0.25">
      <c r="J263" s="10"/>
      <c r="K263" s="10"/>
      <c r="N263" s="12"/>
      <c r="O263" s="13"/>
      <c r="P263" s="12"/>
      <c r="Q263" s="12"/>
      <c r="R263" s="12"/>
      <c r="S263" s="13"/>
      <c r="T263" s="12"/>
      <c r="U263" s="12"/>
      <c r="V263" s="12"/>
      <c r="W263" s="12"/>
      <c r="X263" s="12"/>
      <c r="Y263" s="12"/>
      <c r="Z263" s="12"/>
      <c r="AA263" s="12"/>
      <c r="AB263" s="12"/>
      <c r="AC263" s="12"/>
      <c r="AD263" s="12"/>
      <c r="AE263" s="12"/>
      <c r="AF263" s="12"/>
      <c r="AG263" s="12"/>
      <c r="AH263" s="12"/>
      <c r="AI263" s="12"/>
      <c r="AJ263" s="12"/>
      <c r="AK263" s="12"/>
      <c r="AL263" s="15"/>
      <c r="AM263" s="12"/>
      <c r="AN263" s="12"/>
      <c r="AO263" s="12"/>
      <c r="AP263" s="12"/>
      <c r="AQ263" s="12"/>
      <c r="AR263" s="12"/>
      <c r="AS263" s="12"/>
      <c r="AT263" s="12"/>
      <c r="AU263" s="12"/>
      <c r="AV263" s="12"/>
      <c r="AW263" s="21"/>
      <c r="AX263" s="128"/>
      <c r="AY263" s="21"/>
      <c r="AZ263" s="128"/>
      <c r="BA263" s="128"/>
      <c r="BB263" s="128"/>
    </row>
    <row r="264" spans="1:54" x14ac:dyDescent="0.25">
      <c r="I264" s="8" t="s">
        <v>6</v>
      </c>
      <c r="J264" s="10"/>
      <c r="K264" s="10"/>
      <c r="N264" s="12"/>
      <c r="O264" s="13"/>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5"/>
      <c r="AM264" s="12"/>
      <c r="AN264" s="12"/>
      <c r="AO264" s="12"/>
      <c r="AP264" s="12"/>
      <c r="AQ264" s="12"/>
      <c r="AR264" s="12"/>
      <c r="AS264" s="12"/>
      <c r="AT264" s="12"/>
      <c r="AU264" s="12"/>
      <c r="AV264" s="12"/>
      <c r="AW264" s="21"/>
      <c r="AX264" s="128"/>
      <c r="AY264" s="21"/>
      <c r="AZ264" s="128"/>
      <c r="BA264" s="128"/>
      <c r="BB264" s="128"/>
    </row>
    <row r="265" spans="1:54" x14ac:dyDescent="0.25">
      <c r="J265" s="10"/>
      <c r="K265" s="10"/>
      <c r="N265" s="12"/>
      <c r="O265" s="13"/>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5"/>
      <c r="AM265" s="12"/>
      <c r="AN265" s="12"/>
      <c r="AO265" s="12"/>
      <c r="AP265" s="12"/>
      <c r="AQ265" s="12"/>
      <c r="AR265" s="12"/>
      <c r="AS265" s="12"/>
      <c r="AT265" s="12"/>
      <c r="AU265" s="12"/>
      <c r="AV265" s="12"/>
      <c r="AW265" s="21"/>
      <c r="AX265" s="128"/>
      <c r="AY265" s="21"/>
      <c r="AZ265" s="128"/>
      <c r="BA265" s="128"/>
      <c r="BB265" s="128"/>
    </row>
    <row r="266" spans="1:54" x14ac:dyDescent="0.25">
      <c r="J266" s="10"/>
      <c r="K266" s="10"/>
      <c r="N266" s="12"/>
      <c r="O266" s="13"/>
      <c r="P266" s="12"/>
      <c r="Q266" s="12"/>
      <c r="R266" s="12"/>
      <c r="S266" s="12"/>
      <c r="T266" s="12"/>
      <c r="U266" s="12"/>
      <c r="V266" s="12"/>
      <c r="W266" s="12"/>
      <c r="X266" s="12"/>
      <c r="Y266" s="12"/>
      <c r="Z266" s="12"/>
      <c r="AA266" s="12"/>
      <c r="AB266" s="12"/>
      <c r="AC266" s="12"/>
      <c r="AD266" s="12"/>
      <c r="AE266" s="12"/>
      <c r="AF266" s="12"/>
      <c r="AG266" s="12"/>
      <c r="AH266" s="12" t="s">
        <v>0</v>
      </c>
      <c r="AI266" s="12"/>
      <c r="AJ266" s="12"/>
      <c r="AK266" s="12"/>
      <c r="AL266" s="15"/>
      <c r="AM266" s="12"/>
      <c r="AN266" s="12"/>
      <c r="AO266" s="12"/>
      <c r="AP266" s="12"/>
      <c r="AQ266" s="12"/>
      <c r="AR266" s="12"/>
      <c r="AS266" s="12"/>
      <c r="AT266" s="12"/>
      <c r="AU266" s="12"/>
      <c r="AV266" s="12"/>
      <c r="AW266" s="21"/>
      <c r="AX266" s="128"/>
      <c r="AY266" s="21"/>
      <c r="AZ266" s="128"/>
      <c r="BA266" s="128"/>
      <c r="BB266" s="128"/>
    </row>
    <row r="267" spans="1:54" x14ac:dyDescent="0.25">
      <c r="J267" s="10"/>
      <c r="K267" s="10"/>
      <c r="N267" s="12"/>
      <c r="O267" s="13"/>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5"/>
      <c r="AM267" s="12"/>
      <c r="AN267" s="12"/>
      <c r="AO267" s="12"/>
      <c r="AP267" s="12"/>
      <c r="AQ267" s="12"/>
      <c r="AR267" s="12"/>
      <c r="AS267" s="12"/>
      <c r="AT267" s="12"/>
      <c r="AU267" s="12"/>
      <c r="AV267" s="12"/>
      <c r="AW267" s="21"/>
      <c r="AX267" s="128"/>
      <c r="AY267" s="21"/>
      <c r="AZ267" s="128"/>
      <c r="BA267" s="128"/>
      <c r="BB267" s="128"/>
    </row>
    <row r="268" spans="1:54" x14ac:dyDescent="0.25">
      <c r="J268" s="10"/>
      <c r="K268" s="10"/>
      <c r="N268" s="12"/>
      <c r="O268" s="13"/>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5"/>
      <c r="AM268" s="12"/>
      <c r="AN268" s="12"/>
      <c r="AO268" s="12"/>
      <c r="AP268" s="12"/>
      <c r="AQ268" s="12"/>
      <c r="AR268" s="12"/>
      <c r="AS268" s="12"/>
      <c r="AT268" s="12"/>
      <c r="AU268" s="12"/>
      <c r="AV268" s="12"/>
      <c r="AW268" s="21"/>
      <c r="AX268" s="128"/>
      <c r="AY268" s="21"/>
      <c r="AZ268" s="128"/>
      <c r="BA268" s="128"/>
      <c r="BB268" s="128"/>
    </row>
    <row r="269" spans="1:54" x14ac:dyDescent="0.25">
      <c r="J269" s="10"/>
      <c r="K269" s="10"/>
      <c r="N269" s="12"/>
      <c r="O269" s="13"/>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5"/>
      <c r="AM269" s="12"/>
      <c r="AN269" s="12"/>
      <c r="AO269" s="12"/>
      <c r="AP269" s="12"/>
      <c r="AQ269" s="12"/>
      <c r="AR269" s="12"/>
      <c r="AS269" s="12"/>
      <c r="AT269" s="12"/>
      <c r="AU269" s="12"/>
      <c r="AV269" s="12"/>
      <c r="AW269" s="21"/>
      <c r="AX269" s="128"/>
      <c r="AY269" s="21"/>
      <c r="AZ269" s="128"/>
      <c r="BA269" s="128"/>
      <c r="BB269" s="128"/>
    </row>
    <row r="270" spans="1:54" x14ac:dyDescent="0.25">
      <c r="J270" s="10" t="s">
        <v>0</v>
      </c>
      <c r="K270" s="10"/>
      <c r="N270" s="12"/>
      <c r="O270" s="13"/>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5"/>
      <c r="AM270" s="12"/>
      <c r="AN270" s="12"/>
      <c r="AO270" s="12" t="s">
        <v>0</v>
      </c>
      <c r="AP270" s="12"/>
      <c r="AQ270" s="12"/>
      <c r="AR270" s="12"/>
      <c r="AS270" s="12"/>
      <c r="AT270" s="12"/>
      <c r="AU270" s="12"/>
      <c r="AV270" s="12"/>
      <c r="AW270" s="21"/>
      <c r="AX270" s="128"/>
      <c r="AY270" s="21"/>
      <c r="AZ270" s="128"/>
      <c r="BA270" s="128"/>
      <c r="BB270" s="128"/>
    </row>
    <row r="271" spans="1:54" x14ac:dyDescent="0.25">
      <c r="N271" s="12"/>
      <c r="O271" s="13"/>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5"/>
      <c r="AM271" s="12"/>
      <c r="AN271" s="12"/>
      <c r="AO271" s="12"/>
      <c r="AP271" s="12"/>
      <c r="AQ271" s="12"/>
      <c r="AR271" s="12"/>
      <c r="AS271" s="12"/>
      <c r="AT271" s="12"/>
      <c r="AU271" s="12"/>
      <c r="AV271" s="12"/>
      <c r="AW271" s="21"/>
      <c r="AX271" s="128"/>
      <c r="AY271" s="21"/>
      <c r="AZ271" s="128"/>
      <c r="BA271" s="128"/>
      <c r="BB271" s="128"/>
    </row>
    <row r="272" spans="1:54" x14ac:dyDescent="0.25">
      <c r="N272" s="12"/>
      <c r="O272" s="13"/>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5"/>
      <c r="AM272" s="12"/>
      <c r="AN272" s="12"/>
      <c r="AO272" s="12"/>
      <c r="AP272" s="12"/>
      <c r="AQ272" s="12"/>
      <c r="AR272" s="12"/>
      <c r="AS272" s="12"/>
      <c r="AT272" s="12"/>
      <c r="AU272" s="12"/>
      <c r="AV272" s="12"/>
      <c r="AW272" s="21"/>
      <c r="AX272" s="128"/>
      <c r="AY272" s="21"/>
      <c r="AZ272" s="128"/>
      <c r="BA272" s="128"/>
      <c r="BB272" s="128"/>
    </row>
    <row r="273" spans="14:54" x14ac:dyDescent="0.25">
      <c r="N273" s="12"/>
      <c r="O273" s="13"/>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5"/>
      <c r="AM273" s="12"/>
      <c r="AN273" s="12"/>
      <c r="AO273" s="12"/>
      <c r="AP273" s="12"/>
      <c r="AQ273" s="12"/>
      <c r="AR273" s="12"/>
      <c r="AS273" s="12"/>
      <c r="AT273" s="12"/>
      <c r="AU273" s="12"/>
      <c r="AV273" s="12"/>
      <c r="AW273" s="21"/>
      <c r="AX273" s="128"/>
      <c r="AY273" s="21"/>
      <c r="AZ273" s="128"/>
      <c r="BA273" s="128"/>
      <c r="BB273" s="128"/>
    </row>
    <row r="274" spans="14:54" x14ac:dyDescent="0.25">
      <c r="N274" s="12"/>
      <c r="O274" s="13"/>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5"/>
      <c r="AM274" s="12"/>
      <c r="AN274" s="12"/>
      <c r="AO274" s="12"/>
      <c r="AP274" s="12"/>
      <c r="AQ274" s="12"/>
      <c r="AR274" s="12"/>
      <c r="AS274" s="12"/>
      <c r="AT274" s="12"/>
      <c r="AU274" s="12"/>
      <c r="AV274" s="12"/>
      <c r="AW274" s="21"/>
      <c r="AX274" s="128"/>
      <c r="AY274" s="21"/>
      <c r="AZ274" s="128"/>
      <c r="BA274" s="128"/>
      <c r="BB274" s="128"/>
    </row>
    <row r="275" spans="14:54" x14ac:dyDescent="0.25">
      <c r="N275" s="12"/>
      <c r="O275" s="13"/>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5"/>
      <c r="AM275" s="12"/>
      <c r="AN275" s="12"/>
      <c r="AO275" s="12"/>
      <c r="AP275" s="12"/>
      <c r="AQ275" s="12"/>
      <c r="AR275" s="12"/>
      <c r="AS275" s="12"/>
      <c r="AT275" s="12"/>
      <c r="AU275" s="12"/>
      <c r="AV275" s="12"/>
      <c r="AW275" s="21"/>
      <c r="AX275" s="128"/>
      <c r="AY275" s="21"/>
      <c r="AZ275" s="128"/>
      <c r="BA275" s="128"/>
      <c r="BB275" s="128"/>
    </row>
    <row r="276" spans="14:54" x14ac:dyDescent="0.25">
      <c r="N276" s="12"/>
      <c r="O276" s="13"/>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5"/>
      <c r="AM276" s="12"/>
      <c r="AN276" s="12"/>
      <c r="AO276" s="12"/>
      <c r="AP276" s="12"/>
      <c r="AQ276" s="12"/>
      <c r="AR276" s="12"/>
      <c r="AS276" s="12"/>
      <c r="AT276" s="12"/>
      <c r="AU276" s="12"/>
      <c r="AV276" s="12"/>
      <c r="AW276" s="21"/>
      <c r="AX276" s="128"/>
      <c r="AY276" s="21"/>
      <c r="AZ276" s="128"/>
      <c r="BA276" s="128"/>
      <c r="BB276" s="128"/>
    </row>
    <row r="277" spans="14:54" x14ac:dyDescent="0.25">
      <c r="N277" s="12"/>
      <c r="O277" s="13"/>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5"/>
      <c r="AM277" s="12"/>
      <c r="AN277" s="12"/>
      <c r="AO277" s="12"/>
      <c r="AP277" s="12"/>
      <c r="AQ277" s="12"/>
      <c r="AR277" s="12"/>
      <c r="AS277" s="12"/>
      <c r="AT277" s="12"/>
      <c r="AU277" s="12"/>
      <c r="AV277" s="12"/>
      <c r="AW277" s="21"/>
      <c r="AX277" s="128"/>
      <c r="AY277" s="21"/>
      <c r="AZ277" s="128"/>
      <c r="BA277" s="128"/>
      <c r="BB277" s="128"/>
    </row>
    <row r="278" spans="14:54" x14ac:dyDescent="0.25">
      <c r="N278" s="12"/>
      <c r="O278" s="13"/>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5"/>
      <c r="AM278" s="12"/>
      <c r="AN278" s="12"/>
      <c r="AO278" s="12"/>
      <c r="AP278" s="12"/>
      <c r="AQ278" s="12"/>
      <c r="AR278" s="12"/>
      <c r="AS278" s="12"/>
      <c r="AT278" s="12"/>
      <c r="AU278" s="12"/>
      <c r="AV278" s="12"/>
      <c r="AW278" s="21"/>
      <c r="AX278" s="128"/>
      <c r="AY278" s="21"/>
      <c r="AZ278" s="128"/>
      <c r="BA278" s="128"/>
      <c r="BB278" s="128"/>
    </row>
    <row r="279" spans="14:54" x14ac:dyDescent="0.25">
      <c r="N279" s="12"/>
      <c r="O279" s="13"/>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5"/>
      <c r="AM279" s="12"/>
      <c r="AN279" s="12"/>
      <c r="AO279" s="12"/>
      <c r="AP279" s="12"/>
      <c r="AQ279" s="12"/>
      <c r="AR279" s="12"/>
      <c r="AS279" s="12"/>
      <c r="AT279" s="12"/>
      <c r="AU279" s="12"/>
      <c r="AV279" s="12"/>
      <c r="AW279" s="21"/>
      <c r="AX279" s="128"/>
      <c r="AY279" s="21"/>
      <c r="AZ279" s="128"/>
      <c r="BA279" s="128"/>
      <c r="BB279" s="128"/>
    </row>
    <row r="280" spans="14:54" x14ac:dyDescent="0.25">
      <c r="N280" s="12"/>
      <c r="O280" s="13"/>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5"/>
      <c r="AM280" s="12"/>
      <c r="AN280" s="12"/>
      <c r="AO280" s="12"/>
      <c r="AP280" s="12"/>
      <c r="AQ280" s="12"/>
      <c r="AR280" s="12"/>
      <c r="AS280" s="12"/>
      <c r="AT280" s="12"/>
      <c r="AU280" s="12"/>
      <c r="AV280" s="12"/>
      <c r="AW280" s="21"/>
      <c r="AX280" s="128"/>
      <c r="AY280" s="21"/>
      <c r="AZ280" s="128"/>
      <c r="BA280" s="128"/>
      <c r="BB280" s="128"/>
    </row>
    <row r="281" spans="14:54" x14ac:dyDescent="0.25">
      <c r="N281" s="12"/>
      <c r="O281" s="13"/>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5"/>
      <c r="AM281" s="12"/>
      <c r="AN281" s="12"/>
      <c r="AO281" s="12"/>
      <c r="AP281" s="12"/>
      <c r="AQ281" s="12"/>
      <c r="AR281" s="12"/>
      <c r="AS281" s="12"/>
      <c r="AT281" s="12"/>
      <c r="AU281" s="12"/>
      <c r="AV281" s="12"/>
      <c r="AW281" s="21"/>
      <c r="AX281" s="128"/>
      <c r="AY281" s="21"/>
      <c r="AZ281" s="128"/>
      <c r="BA281" s="128"/>
      <c r="BB281" s="128"/>
    </row>
    <row r="282" spans="14:54" x14ac:dyDescent="0.25">
      <c r="N282" s="12"/>
      <c r="O282" s="13"/>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5"/>
      <c r="AM282" s="12"/>
      <c r="AN282" s="12"/>
      <c r="AO282" s="12"/>
      <c r="AP282" s="12"/>
      <c r="AQ282" s="12"/>
      <c r="AR282" s="12"/>
      <c r="AS282" s="12"/>
      <c r="AT282" s="12"/>
      <c r="AU282" s="12"/>
      <c r="AV282" s="12"/>
      <c r="AW282" s="21"/>
      <c r="AX282" s="128"/>
      <c r="AY282" s="21"/>
      <c r="AZ282" s="128"/>
      <c r="BA282" s="128"/>
      <c r="BB282" s="128"/>
    </row>
    <row r="283" spans="14:54" x14ac:dyDescent="0.25">
      <c r="N283" s="12"/>
      <c r="O283" s="13"/>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5"/>
      <c r="AM283" s="12"/>
      <c r="AN283" s="12"/>
      <c r="AO283" s="12"/>
      <c r="AP283" s="12"/>
      <c r="AQ283" s="12"/>
      <c r="AR283" s="12"/>
      <c r="AS283" s="12"/>
      <c r="AT283" s="12"/>
      <c r="AU283" s="12"/>
      <c r="AV283" s="12"/>
      <c r="AW283" s="21"/>
      <c r="AX283" s="128"/>
      <c r="AY283" s="21"/>
      <c r="AZ283" s="128"/>
      <c r="BA283" s="128"/>
      <c r="BB283" s="128"/>
    </row>
    <row r="284" spans="14:54" x14ac:dyDescent="0.25">
      <c r="N284" s="12"/>
      <c r="O284" s="13"/>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5"/>
      <c r="AM284" s="12"/>
      <c r="AN284" s="12"/>
      <c r="AO284" s="12"/>
      <c r="AP284" s="12"/>
      <c r="AQ284" s="12"/>
      <c r="AR284" s="12"/>
      <c r="AS284" s="12"/>
      <c r="AT284" s="12"/>
      <c r="AU284" s="12"/>
      <c r="AV284" s="12"/>
      <c r="AW284" s="21"/>
      <c r="AX284" s="128"/>
      <c r="AY284" s="21"/>
      <c r="AZ284" s="128"/>
      <c r="BA284" s="128"/>
      <c r="BB284" s="128"/>
    </row>
    <row r="285" spans="14:54" x14ac:dyDescent="0.25">
      <c r="N285" s="12"/>
      <c r="O285" s="13"/>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5"/>
      <c r="AM285" s="12"/>
      <c r="AN285" s="12"/>
      <c r="AO285" s="12"/>
      <c r="AP285" s="12"/>
      <c r="AQ285" s="12"/>
      <c r="AR285" s="12"/>
      <c r="AS285" s="12"/>
      <c r="AT285" s="12"/>
      <c r="AU285" s="12"/>
      <c r="AV285" s="12"/>
      <c r="AW285" s="21"/>
      <c r="AX285" s="128"/>
      <c r="AY285" s="21"/>
      <c r="AZ285" s="128"/>
      <c r="BA285" s="128"/>
      <c r="BB285" s="128"/>
    </row>
    <row r="286" spans="14:54" x14ac:dyDescent="0.25">
      <c r="N286" s="12"/>
      <c r="O286" s="13"/>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5"/>
      <c r="AM286" s="12"/>
      <c r="AN286" s="12"/>
      <c r="AO286" s="12"/>
      <c r="AP286" s="12"/>
      <c r="AQ286" s="12"/>
      <c r="AR286" s="12"/>
      <c r="AS286" s="12"/>
      <c r="AT286" s="12"/>
      <c r="AU286" s="12"/>
      <c r="AV286" s="12"/>
      <c r="AW286" s="21"/>
      <c r="AX286" s="128"/>
      <c r="AY286" s="21"/>
      <c r="AZ286" s="128"/>
      <c r="BA286" s="128"/>
      <c r="BB286" s="128"/>
    </row>
    <row r="287" spans="14:54" x14ac:dyDescent="0.25">
      <c r="N287" s="12"/>
      <c r="O287" s="13"/>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5"/>
      <c r="AM287" s="12"/>
      <c r="AN287" s="12"/>
      <c r="AO287" s="12"/>
      <c r="AP287" s="12"/>
      <c r="AQ287" s="12"/>
      <c r="AR287" s="12"/>
      <c r="AS287" s="12"/>
      <c r="AT287" s="12"/>
      <c r="AU287" s="12"/>
      <c r="AV287" s="12"/>
      <c r="AW287" s="21"/>
      <c r="AX287" s="128"/>
      <c r="AY287" s="21"/>
      <c r="AZ287" s="128"/>
      <c r="BA287" s="128"/>
      <c r="BB287" s="128"/>
    </row>
    <row r="288" spans="14:54" x14ac:dyDescent="0.25">
      <c r="N288" s="12"/>
      <c r="O288" s="13"/>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5"/>
      <c r="AM288" s="12"/>
      <c r="AN288" s="12"/>
      <c r="AO288" s="12"/>
      <c r="AP288" s="12"/>
      <c r="AQ288" s="12"/>
      <c r="AR288" s="12"/>
      <c r="AS288" s="12"/>
      <c r="AT288" s="12"/>
      <c r="AU288" s="12"/>
      <c r="AV288" s="12"/>
      <c r="AW288" s="21"/>
      <c r="AX288" s="128"/>
      <c r="AY288" s="21"/>
      <c r="AZ288" s="128"/>
      <c r="BA288" s="128"/>
      <c r="BB288" s="128"/>
    </row>
    <row r="289" spans="1:54" x14ac:dyDescent="0.25">
      <c r="N289" s="12"/>
      <c r="O289" s="13"/>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5"/>
      <c r="AM289" s="12"/>
      <c r="AN289" s="12"/>
      <c r="AO289" s="12"/>
      <c r="AP289" s="12"/>
      <c r="AQ289" s="12"/>
      <c r="AR289" s="12"/>
      <c r="AS289" s="12"/>
      <c r="AT289" s="12"/>
      <c r="AU289" s="12"/>
      <c r="AV289" s="12"/>
      <c r="AW289" s="21"/>
      <c r="AX289" s="128"/>
      <c r="AY289" s="21"/>
      <c r="AZ289" s="128"/>
      <c r="BA289" s="128"/>
      <c r="BB289" s="128"/>
    </row>
    <row r="290" spans="1:54" x14ac:dyDescent="0.25">
      <c r="N290" s="12"/>
      <c r="O290" s="13"/>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5"/>
      <c r="AM290" s="12"/>
      <c r="AN290" s="12"/>
      <c r="AO290" s="12"/>
      <c r="AP290" s="12"/>
      <c r="AQ290" s="12"/>
      <c r="AR290" s="12"/>
      <c r="AS290" s="12"/>
      <c r="AT290" s="12"/>
      <c r="AU290" s="12"/>
      <c r="AV290" s="12"/>
      <c r="AW290" s="21"/>
      <c r="AX290" s="128"/>
      <c r="AY290" s="21"/>
      <c r="AZ290" s="128"/>
      <c r="BA290" s="128"/>
      <c r="BB290" s="128"/>
    </row>
    <row r="291" spans="1:54" x14ac:dyDescent="0.25">
      <c r="N291" s="12"/>
      <c r="O291" s="13"/>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5"/>
      <c r="AM291" s="12"/>
      <c r="AN291" s="12"/>
      <c r="AO291" s="12"/>
      <c r="AP291" s="12"/>
      <c r="AQ291" s="12"/>
      <c r="AR291" s="12"/>
      <c r="AS291" s="12"/>
      <c r="AT291" s="12"/>
      <c r="AU291" s="12"/>
      <c r="AV291" s="12"/>
      <c r="AW291" s="21"/>
      <c r="AX291" s="128"/>
      <c r="AY291" s="21"/>
      <c r="AZ291" s="128"/>
      <c r="BA291" s="128"/>
      <c r="BB291" s="128"/>
    </row>
    <row r="292" spans="1:54" x14ac:dyDescent="0.25">
      <c r="N292" s="12"/>
      <c r="O292" s="13"/>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5"/>
      <c r="AM292" s="12"/>
      <c r="AN292" s="12"/>
      <c r="AO292" s="12"/>
      <c r="AP292" s="12"/>
      <c r="AQ292" s="12"/>
      <c r="AR292" s="12"/>
      <c r="AS292" s="12"/>
      <c r="AT292" s="12"/>
      <c r="AU292" s="12"/>
      <c r="AV292" s="12"/>
      <c r="AW292" s="21"/>
      <c r="AX292" s="128"/>
      <c r="AY292" s="21"/>
      <c r="AZ292" s="128"/>
      <c r="BA292" s="128"/>
      <c r="BB292" s="128"/>
    </row>
    <row r="293" spans="1:54" x14ac:dyDescent="0.25">
      <c r="N293" s="12"/>
      <c r="O293" s="13"/>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5"/>
      <c r="AM293" s="12"/>
      <c r="AN293" s="12"/>
      <c r="AO293" s="12"/>
      <c r="AP293" s="12"/>
      <c r="AQ293" s="12"/>
      <c r="AR293" s="12"/>
      <c r="AS293" s="12"/>
      <c r="AT293" s="12"/>
      <c r="AU293" s="12"/>
      <c r="AV293" s="12"/>
      <c r="AW293" s="21"/>
      <c r="AX293" s="128"/>
      <c r="AY293" s="21"/>
      <c r="AZ293" s="128"/>
      <c r="BA293" s="128"/>
      <c r="BB293" s="128"/>
    </row>
    <row r="294" spans="1:54" x14ac:dyDescent="0.25">
      <c r="N294" s="12"/>
      <c r="O294" s="13"/>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5"/>
      <c r="AM294" s="12"/>
      <c r="AN294" s="12"/>
      <c r="AO294" s="12"/>
      <c r="AP294" s="12"/>
      <c r="AQ294" s="12"/>
      <c r="AR294" s="12"/>
      <c r="AS294" s="12"/>
      <c r="AT294" s="12"/>
      <c r="AU294" s="12"/>
      <c r="AV294" s="12"/>
      <c r="AW294" s="21"/>
      <c r="AX294" s="128"/>
      <c r="AY294" s="21"/>
      <c r="AZ294" s="128"/>
      <c r="BA294" s="128"/>
      <c r="BB294" s="128"/>
    </row>
    <row r="295" spans="1:54" x14ac:dyDescent="0.25">
      <c r="N295" s="12"/>
      <c r="O295" s="13"/>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5"/>
      <c r="AM295" s="12"/>
      <c r="AN295" s="12"/>
      <c r="AO295" s="12"/>
      <c r="AP295" s="12"/>
      <c r="AQ295" s="12"/>
      <c r="AR295" s="12"/>
      <c r="AS295" s="12"/>
      <c r="AT295" s="12"/>
      <c r="AU295" s="12"/>
      <c r="AV295" s="12"/>
      <c r="AW295" s="21"/>
      <c r="AX295" s="128"/>
      <c r="AY295" s="21"/>
      <c r="AZ295" s="128"/>
      <c r="BA295" s="128"/>
      <c r="BB295" s="128"/>
    </row>
    <row r="296" spans="1:54" x14ac:dyDescent="0.25">
      <c r="N296" s="12"/>
      <c r="O296" s="13"/>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5"/>
      <c r="AM296" s="12"/>
      <c r="AN296" s="12"/>
      <c r="AO296" s="12"/>
      <c r="AP296" s="12"/>
      <c r="AQ296" s="12"/>
      <c r="AR296" s="12"/>
      <c r="AS296" s="12"/>
      <c r="AT296" s="12"/>
      <c r="AU296" s="12"/>
      <c r="AV296" s="12"/>
      <c r="AW296" s="21"/>
      <c r="AX296" s="128"/>
      <c r="AY296" s="21"/>
      <c r="AZ296" s="128"/>
      <c r="BA296" s="128"/>
      <c r="BB296" s="128"/>
    </row>
    <row r="297" spans="1:54" x14ac:dyDescent="0.25">
      <c r="C297" s="18" t="s">
        <v>6</v>
      </c>
      <c r="N297" s="12"/>
      <c r="O297" s="13"/>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5"/>
      <c r="AM297" s="12"/>
      <c r="AN297" s="12"/>
      <c r="AO297" s="12"/>
      <c r="AP297" s="12"/>
      <c r="AQ297" s="12"/>
      <c r="AR297" s="12"/>
      <c r="AS297" s="12"/>
      <c r="AT297" s="12"/>
      <c r="AU297" s="12"/>
      <c r="AV297" s="12"/>
      <c r="AW297" s="21"/>
      <c r="AX297" s="128"/>
      <c r="AY297" s="21"/>
      <c r="AZ297" s="128"/>
      <c r="BA297" s="128"/>
      <c r="BB297" s="128"/>
    </row>
    <row r="298" spans="1:54" x14ac:dyDescent="0.25">
      <c r="N298" s="12"/>
      <c r="O298" s="13"/>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5"/>
      <c r="AM298" s="12"/>
      <c r="AN298" s="12"/>
      <c r="AO298" s="12"/>
      <c r="AP298" s="12"/>
      <c r="AQ298" s="12"/>
      <c r="AR298" s="12"/>
      <c r="AS298" s="12"/>
      <c r="AT298" s="12"/>
      <c r="AU298" s="12"/>
      <c r="AV298" s="12"/>
      <c r="AW298" s="21"/>
      <c r="AX298" s="128"/>
      <c r="AY298" s="21"/>
      <c r="AZ298" s="128"/>
      <c r="BA298" s="128"/>
      <c r="BB298" s="128"/>
    </row>
    <row r="299" spans="1:54" x14ac:dyDescent="0.25">
      <c r="N299" s="12"/>
      <c r="O299" s="13"/>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5"/>
      <c r="AM299" s="12"/>
      <c r="AN299" s="12"/>
      <c r="AO299" s="12"/>
      <c r="AP299" s="12"/>
      <c r="AQ299" s="12"/>
      <c r="AR299" s="12"/>
      <c r="AS299" s="12"/>
      <c r="AT299" s="12"/>
      <c r="AU299" s="12"/>
      <c r="AV299" s="12"/>
      <c r="AW299" s="21"/>
      <c r="AX299" s="128"/>
      <c r="AY299" s="21"/>
      <c r="AZ299" s="128"/>
      <c r="BA299" s="128"/>
      <c r="BB299" s="128"/>
    </row>
    <row r="300" spans="1:54" x14ac:dyDescent="0.25">
      <c r="N300" s="12"/>
      <c r="O300" s="13"/>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5"/>
      <c r="AM300" s="12"/>
      <c r="AN300" s="12"/>
      <c r="AO300" s="12"/>
      <c r="AP300" s="12"/>
      <c r="AQ300" s="12"/>
      <c r="AR300" s="12"/>
      <c r="AS300" s="12"/>
      <c r="AT300" s="12"/>
      <c r="AU300" s="12"/>
      <c r="AV300" s="12"/>
      <c r="AW300" s="21"/>
      <c r="AX300" s="128"/>
      <c r="AY300" s="21"/>
      <c r="AZ300" s="128"/>
      <c r="BA300" s="128"/>
      <c r="BB300" s="128"/>
    </row>
    <row r="301" spans="1:54" x14ac:dyDescent="0.25">
      <c r="C301" s="18" t="s">
        <v>6</v>
      </c>
      <c r="N301" s="12"/>
      <c r="O301" s="13"/>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5"/>
      <c r="AM301" s="12"/>
      <c r="AN301" s="12"/>
      <c r="AO301" s="12"/>
      <c r="AP301" s="12"/>
      <c r="AQ301" s="12"/>
      <c r="AR301" s="12"/>
      <c r="AS301" s="12"/>
      <c r="AT301" s="12"/>
      <c r="AU301" s="12"/>
      <c r="AV301" s="12"/>
      <c r="AW301" s="21"/>
      <c r="AX301" s="128"/>
      <c r="AY301" s="21"/>
      <c r="AZ301" s="128"/>
      <c r="BA301" s="128"/>
      <c r="BB301" s="128"/>
    </row>
    <row r="302" spans="1:54" x14ac:dyDescent="0.25">
      <c r="N302" s="12"/>
      <c r="O302" s="13"/>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5"/>
      <c r="AM302" s="12"/>
      <c r="AN302" s="12"/>
      <c r="AO302" s="12"/>
      <c r="AP302" s="12"/>
      <c r="AQ302" s="12"/>
      <c r="AR302" s="12"/>
      <c r="AS302" s="12"/>
      <c r="AT302" s="12"/>
      <c r="AU302" s="12"/>
      <c r="AV302" s="12"/>
      <c r="AW302" s="21"/>
      <c r="AX302" s="128"/>
      <c r="AY302" s="21"/>
      <c r="AZ302" s="128"/>
      <c r="BA302" s="128"/>
      <c r="BB302" s="128"/>
    </row>
    <row r="303" spans="1:54" x14ac:dyDescent="0.25">
      <c r="N303" s="12"/>
      <c r="O303" s="13"/>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5"/>
      <c r="AM303" s="12"/>
      <c r="AN303" s="12"/>
      <c r="AO303" s="12"/>
      <c r="AP303" s="12"/>
      <c r="AQ303" s="12"/>
      <c r="AR303" s="12"/>
      <c r="AS303" s="12"/>
      <c r="AT303" s="12"/>
      <c r="AU303" s="12"/>
      <c r="AV303" s="12"/>
      <c r="AW303" s="21"/>
      <c r="AX303" s="128"/>
      <c r="AY303" s="21"/>
      <c r="AZ303" s="128"/>
      <c r="BA303" s="128"/>
      <c r="BB303" s="128"/>
    </row>
    <row r="304" spans="1:54" x14ac:dyDescent="0.25">
      <c r="A304" s="8" t="s">
        <v>0</v>
      </c>
      <c r="N304" s="12"/>
      <c r="O304" s="13"/>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5"/>
      <c r="AM304" s="12"/>
      <c r="AN304" s="12"/>
      <c r="AO304" s="12"/>
      <c r="AP304" s="12"/>
      <c r="AQ304" s="12"/>
      <c r="AR304" s="12"/>
      <c r="AS304" s="12"/>
      <c r="AT304" s="12"/>
      <c r="AU304" s="12"/>
      <c r="AV304" s="12"/>
      <c r="AW304" s="21"/>
      <c r="AX304" s="128"/>
      <c r="AY304" s="21"/>
      <c r="AZ304" s="128"/>
      <c r="BA304" s="128"/>
      <c r="BB304" s="128"/>
    </row>
    <row r="305" spans="14:54" x14ac:dyDescent="0.25">
      <c r="N305" s="12"/>
      <c r="O305" s="13"/>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5"/>
      <c r="AM305" s="12"/>
      <c r="AN305" s="12"/>
      <c r="AO305" s="12"/>
      <c r="AP305" s="12"/>
      <c r="AQ305" s="12"/>
      <c r="AR305" s="12"/>
      <c r="AS305" s="12"/>
      <c r="AT305" s="12"/>
      <c r="AU305" s="12"/>
      <c r="AV305" s="12"/>
      <c r="AW305" s="21"/>
      <c r="AX305" s="128"/>
      <c r="AY305" s="21"/>
      <c r="AZ305" s="128"/>
      <c r="BA305" s="128"/>
      <c r="BB305" s="128"/>
    </row>
    <row r="306" spans="14:54" x14ac:dyDescent="0.25">
      <c r="N306" s="12"/>
      <c r="O306" s="13"/>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5"/>
      <c r="AM306" s="12"/>
      <c r="AN306" s="12"/>
      <c r="AO306" s="12"/>
      <c r="AP306" s="12"/>
      <c r="AQ306" s="12"/>
      <c r="AR306" s="12"/>
      <c r="AS306" s="12"/>
      <c r="AT306" s="12"/>
      <c r="AU306" s="12"/>
      <c r="AV306" s="12"/>
      <c r="AW306" s="21"/>
      <c r="AX306" s="128"/>
      <c r="AY306" s="21"/>
      <c r="AZ306" s="128"/>
      <c r="BA306" s="128"/>
      <c r="BB306" s="128"/>
    </row>
    <row r="307" spans="14:54" x14ac:dyDescent="0.25">
      <c r="N307" s="12"/>
      <c r="O307" s="13"/>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5"/>
      <c r="AM307" s="12"/>
      <c r="AN307" s="12"/>
      <c r="AO307" s="12"/>
      <c r="AP307" s="12"/>
      <c r="AQ307" s="12"/>
      <c r="AR307" s="12"/>
      <c r="AS307" s="12"/>
      <c r="AT307" s="12"/>
      <c r="AU307" s="12"/>
      <c r="AV307" s="12"/>
      <c r="AW307" s="21"/>
      <c r="AX307" s="128"/>
      <c r="AY307" s="21"/>
      <c r="AZ307" s="128"/>
      <c r="BA307" s="128"/>
      <c r="BB307" s="128"/>
    </row>
    <row r="308" spans="14:54" x14ac:dyDescent="0.25">
      <c r="N308" s="12"/>
      <c r="O308" s="13"/>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5"/>
      <c r="AM308" s="12"/>
      <c r="AN308" s="12"/>
      <c r="AO308" s="12"/>
      <c r="AP308" s="12"/>
      <c r="AQ308" s="12"/>
      <c r="AR308" s="12"/>
      <c r="AS308" s="12"/>
      <c r="AT308" s="12"/>
      <c r="AU308" s="12"/>
      <c r="AV308" s="12"/>
      <c r="AW308" s="21"/>
      <c r="AX308" s="128"/>
      <c r="AY308" s="21"/>
      <c r="AZ308" s="128"/>
      <c r="BA308" s="128"/>
      <c r="BB308" s="128"/>
    </row>
    <row r="309" spans="14:54" x14ac:dyDescent="0.25">
      <c r="N309" s="12"/>
      <c r="O309" s="13"/>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5"/>
      <c r="AM309" s="12"/>
      <c r="AN309" s="12"/>
      <c r="AO309" s="12"/>
      <c r="AP309" s="12"/>
      <c r="AQ309" s="12"/>
      <c r="AR309" s="12"/>
      <c r="AS309" s="12"/>
      <c r="AT309" s="12"/>
      <c r="AU309" s="12"/>
      <c r="AV309" s="12"/>
      <c r="AW309" s="21"/>
      <c r="AX309" s="128"/>
      <c r="AY309" s="21"/>
      <c r="AZ309" s="128"/>
      <c r="BA309" s="128"/>
      <c r="BB309" s="128"/>
    </row>
    <row r="310" spans="14:54" x14ac:dyDescent="0.25">
      <c r="N310" s="12"/>
      <c r="O310" s="13"/>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5"/>
      <c r="AM310" s="12"/>
      <c r="AN310" s="12"/>
      <c r="AO310" s="12"/>
      <c r="AP310" s="12"/>
      <c r="AQ310" s="12"/>
      <c r="AR310" s="12"/>
      <c r="AS310" s="12"/>
      <c r="AT310" s="12"/>
      <c r="AU310" s="12"/>
      <c r="AV310" s="12"/>
      <c r="AW310" s="21"/>
      <c r="AX310" s="128"/>
      <c r="AY310" s="21"/>
      <c r="AZ310" s="128"/>
      <c r="BA310" s="128"/>
      <c r="BB310" s="128"/>
    </row>
    <row r="311" spans="14:54" x14ac:dyDescent="0.25">
      <c r="N311" s="12"/>
      <c r="O311" s="13"/>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5"/>
      <c r="AM311" s="12"/>
      <c r="AN311" s="12"/>
      <c r="AO311" s="12"/>
      <c r="AP311" s="12"/>
      <c r="AQ311" s="12"/>
      <c r="AR311" s="12"/>
      <c r="AS311" s="12"/>
      <c r="AT311" s="12"/>
      <c r="AU311" s="12"/>
      <c r="AV311" s="12"/>
      <c r="AW311" s="21"/>
      <c r="AX311" s="128"/>
      <c r="AY311" s="21"/>
      <c r="AZ311" s="128"/>
      <c r="BA311" s="128"/>
      <c r="BB311" s="128"/>
    </row>
    <row r="312" spans="14:54" x14ac:dyDescent="0.25">
      <c r="N312" s="12"/>
      <c r="O312" s="13"/>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5"/>
      <c r="AM312" s="12"/>
      <c r="AN312" s="12"/>
      <c r="AO312" s="12"/>
      <c r="AP312" s="12"/>
      <c r="AQ312" s="12"/>
      <c r="AR312" s="12"/>
      <c r="AS312" s="12"/>
      <c r="AT312" s="12"/>
      <c r="AU312" s="12"/>
      <c r="AV312" s="12"/>
      <c r="AW312" s="21"/>
      <c r="AX312" s="128"/>
      <c r="AY312" s="21"/>
      <c r="AZ312" s="128"/>
      <c r="BA312" s="128"/>
      <c r="BB312" s="128"/>
    </row>
    <row r="313" spans="14:54" x14ac:dyDescent="0.25">
      <c r="N313" s="12"/>
      <c r="O313" s="13"/>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5"/>
      <c r="AM313" s="12"/>
      <c r="AN313" s="12"/>
      <c r="AO313" s="12"/>
      <c r="AP313" s="12"/>
      <c r="AQ313" s="12"/>
      <c r="AR313" s="12"/>
      <c r="AS313" s="12"/>
      <c r="AT313" s="12"/>
      <c r="AU313" s="12"/>
      <c r="AV313" s="12"/>
      <c r="AW313" s="21"/>
      <c r="AX313" s="128"/>
      <c r="AY313" s="21"/>
      <c r="AZ313" s="128"/>
      <c r="BA313" s="128"/>
      <c r="BB313" s="128"/>
    </row>
    <row r="314" spans="14:54" x14ac:dyDescent="0.25">
      <c r="N314" s="12"/>
      <c r="O314" s="13"/>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5"/>
      <c r="AM314" s="12"/>
      <c r="AN314" s="12"/>
      <c r="AO314" s="12"/>
      <c r="AP314" s="12"/>
      <c r="AQ314" s="12"/>
      <c r="AR314" s="12"/>
      <c r="AS314" s="12"/>
      <c r="AT314" s="12"/>
      <c r="AU314" s="12"/>
      <c r="AV314" s="12"/>
      <c r="AW314" s="21"/>
      <c r="AX314" s="128"/>
      <c r="AY314" s="21"/>
      <c r="AZ314" s="128"/>
      <c r="BA314" s="128"/>
      <c r="BB314" s="128"/>
    </row>
    <row r="315" spans="14:54" x14ac:dyDescent="0.25">
      <c r="N315" s="12"/>
      <c r="O315" s="13"/>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5"/>
      <c r="AM315" s="12"/>
      <c r="AN315" s="12"/>
      <c r="AO315" s="12"/>
      <c r="AP315" s="12"/>
      <c r="AQ315" s="12"/>
      <c r="AR315" s="12"/>
      <c r="AS315" s="12"/>
      <c r="AT315" s="12"/>
      <c r="AU315" s="12"/>
      <c r="AV315" s="12"/>
      <c r="AW315" s="21"/>
      <c r="AX315" s="128"/>
      <c r="AY315" s="21"/>
      <c r="AZ315" s="128"/>
      <c r="BA315" s="128"/>
      <c r="BB315" s="128"/>
    </row>
    <row r="316" spans="14:54" x14ac:dyDescent="0.25">
      <c r="N316" s="12"/>
      <c r="O316" s="13"/>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5"/>
      <c r="AM316" s="12"/>
      <c r="AN316" s="12"/>
      <c r="AO316" s="12"/>
      <c r="AP316" s="12"/>
      <c r="AQ316" s="12"/>
      <c r="AR316" s="12"/>
      <c r="AS316" s="12"/>
      <c r="AT316" s="12"/>
      <c r="AU316" s="12"/>
      <c r="AV316" s="12"/>
      <c r="AW316" s="21"/>
      <c r="AX316" s="128"/>
      <c r="AY316" s="21"/>
      <c r="AZ316" s="128"/>
      <c r="BA316" s="128"/>
      <c r="BB316" s="128"/>
    </row>
    <row r="317" spans="14:54" x14ac:dyDescent="0.25">
      <c r="N317" s="12"/>
      <c r="O317" s="13"/>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5"/>
      <c r="AM317" s="12"/>
      <c r="AN317" s="12"/>
      <c r="AO317" s="12"/>
      <c r="AP317" s="12"/>
      <c r="AQ317" s="12"/>
      <c r="AR317" s="12"/>
      <c r="AS317" s="12"/>
      <c r="AT317" s="12"/>
      <c r="AU317" s="12"/>
      <c r="AV317" s="12"/>
      <c r="AW317" s="21"/>
      <c r="AX317" s="128"/>
      <c r="AY317" s="21"/>
      <c r="AZ317" s="128"/>
      <c r="BA317" s="128"/>
      <c r="BB317" s="128"/>
    </row>
    <row r="318" spans="14:54" x14ac:dyDescent="0.25">
      <c r="N318" s="12"/>
      <c r="O318" s="13"/>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5"/>
      <c r="AM318" s="12"/>
      <c r="AN318" s="12"/>
      <c r="AO318" s="12"/>
      <c r="AP318" s="12"/>
      <c r="AQ318" s="12"/>
      <c r="AR318" s="12"/>
      <c r="AS318" s="12"/>
      <c r="AT318" s="12"/>
      <c r="AU318" s="12"/>
      <c r="AV318" s="12"/>
      <c r="AW318" s="21"/>
      <c r="AX318" s="128"/>
      <c r="AY318" s="21"/>
      <c r="AZ318" s="128"/>
      <c r="BA318" s="128"/>
      <c r="BB318" s="128"/>
    </row>
    <row r="319" spans="14:54" x14ac:dyDescent="0.25">
      <c r="N319" s="12"/>
      <c r="O319" s="13"/>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5"/>
      <c r="AM319" s="12"/>
      <c r="AN319" s="12"/>
      <c r="AO319" s="12"/>
      <c r="AP319" s="12"/>
      <c r="AQ319" s="12"/>
      <c r="AR319" s="12"/>
      <c r="AS319" s="12"/>
      <c r="AT319" s="12"/>
      <c r="AU319" s="12"/>
      <c r="AV319" s="12"/>
      <c r="AW319" s="21"/>
      <c r="AX319" s="128"/>
      <c r="AY319" s="21"/>
      <c r="AZ319" s="128"/>
      <c r="BA319" s="128"/>
      <c r="BB319" s="128"/>
    </row>
    <row r="320" spans="14:54" x14ac:dyDescent="0.25">
      <c r="N320" s="12"/>
      <c r="O320" s="13"/>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5"/>
      <c r="AM320" s="12"/>
      <c r="AN320" s="12"/>
      <c r="AO320" s="12"/>
      <c r="AP320" s="12"/>
      <c r="AQ320" s="12"/>
      <c r="AR320" s="12"/>
      <c r="AS320" s="12"/>
      <c r="AT320" s="12"/>
      <c r="AU320" s="12"/>
      <c r="AV320" s="12"/>
      <c r="AW320" s="21"/>
      <c r="AX320" s="128"/>
      <c r="AY320" s="21"/>
      <c r="AZ320" s="128"/>
      <c r="BA320" s="128"/>
      <c r="BB320" s="128"/>
    </row>
    <row r="321" spans="14:54" x14ac:dyDescent="0.25">
      <c r="N321" s="12"/>
      <c r="O321" s="13"/>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5"/>
      <c r="AM321" s="12"/>
      <c r="AN321" s="12"/>
      <c r="AO321" s="12"/>
      <c r="AP321" s="12"/>
      <c r="AQ321" s="12"/>
      <c r="AR321" s="12"/>
      <c r="AS321" s="12"/>
      <c r="AT321" s="12"/>
      <c r="AU321" s="12"/>
      <c r="AV321" s="12"/>
      <c r="AW321" s="21"/>
      <c r="AX321" s="128"/>
      <c r="AY321" s="21"/>
      <c r="AZ321" s="128"/>
      <c r="BA321" s="128"/>
      <c r="BB321" s="128"/>
    </row>
    <row r="322" spans="14:54" x14ac:dyDescent="0.25">
      <c r="N322" s="12"/>
      <c r="O322" s="13"/>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5"/>
      <c r="AM322" s="12"/>
      <c r="AN322" s="12"/>
      <c r="AO322" s="12"/>
      <c r="AP322" s="12"/>
      <c r="AQ322" s="12"/>
      <c r="AR322" s="12"/>
      <c r="AS322" s="12"/>
      <c r="AT322" s="12"/>
      <c r="AU322" s="12"/>
      <c r="AV322" s="12"/>
      <c r="AW322" s="21"/>
      <c r="AX322" s="128"/>
      <c r="AY322" s="21"/>
      <c r="AZ322" s="128"/>
      <c r="BA322" s="128"/>
      <c r="BB322" s="128"/>
    </row>
    <row r="323" spans="14:54" x14ac:dyDescent="0.25">
      <c r="N323" s="12"/>
      <c r="O323" s="13"/>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5"/>
      <c r="AM323" s="12"/>
      <c r="AN323" s="12"/>
      <c r="AO323" s="12"/>
      <c r="AP323" s="12"/>
      <c r="AQ323" s="12"/>
      <c r="AR323" s="12"/>
      <c r="AS323" s="12"/>
      <c r="AT323" s="12"/>
      <c r="AU323" s="12"/>
      <c r="AV323" s="12"/>
      <c r="AW323" s="21"/>
      <c r="AX323" s="128"/>
      <c r="AY323" s="21"/>
      <c r="AZ323" s="128"/>
      <c r="BA323" s="128"/>
      <c r="BB323" s="128"/>
    </row>
    <row r="324" spans="14:54" x14ac:dyDescent="0.25">
      <c r="N324" s="12"/>
      <c r="O324" s="13"/>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5"/>
      <c r="AM324" s="12"/>
      <c r="AN324" s="12"/>
      <c r="AO324" s="12"/>
      <c r="AP324" s="12"/>
      <c r="AQ324" s="12"/>
      <c r="AR324" s="12"/>
      <c r="AS324" s="12"/>
      <c r="AT324" s="12"/>
      <c r="AU324" s="12"/>
      <c r="AV324" s="12"/>
      <c r="AW324" s="21"/>
      <c r="AX324" s="128"/>
      <c r="AY324" s="21"/>
      <c r="AZ324" s="128"/>
      <c r="BA324" s="128"/>
      <c r="BB324" s="128"/>
    </row>
    <row r="325" spans="14:54" x14ac:dyDescent="0.25">
      <c r="N325" s="12"/>
      <c r="O325" s="13"/>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5"/>
      <c r="AM325" s="12"/>
      <c r="AN325" s="12"/>
      <c r="AO325" s="12"/>
      <c r="AP325" s="12"/>
      <c r="AQ325" s="12"/>
      <c r="AR325" s="12"/>
      <c r="AS325" s="12"/>
      <c r="AT325" s="12"/>
      <c r="AU325" s="12"/>
      <c r="AV325" s="12"/>
      <c r="AW325" s="21"/>
      <c r="AX325" s="128"/>
      <c r="AY325" s="21"/>
      <c r="AZ325" s="128"/>
      <c r="BA325" s="128"/>
      <c r="BB325" s="128"/>
    </row>
    <row r="326" spans="14:54" x14ac:dyDescent="0.25">
      <c r="N326" s="12"/>
      <c r="O326" s="13"/>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5"/>
      <c r="AM326" s="12"/>
      <c r="AN326" s="12"/>
      <c r="AO326" s="12"/>
      <c r="AP326" s="12"/>
      <c r="AQ326" s="12"/>
      <c r="AR326" s="12"/>
      <c r="AS326" s="12"/>
      <c r="AT326" s="12"/>
      <c r="AU326" s="12"/>
      <c r="AV326" s="12"/>
      <c r="AW326" s="21"/>
      <c r="AX326" s="128"/>
      <c r="AY326" s="21"/>
      <c r="AZ326" s="128"/>
      <c r="BA326" s="128"/>
      <c r="BB326" s="128"/>
    </row>
    <row r="327" spans="14:54" x14ac:dyDescent="0.25">
      <c r="N327" s="12"/>
      <c r="O327" s="13"/>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5"/>
      <c r="AM327" s="12"/>
      <c r="AN327" s="12"/>
      <c r="AO327" s="12"/>
      <c r="AP327" s="12"/>
      <c r="AQ327" s="12"/>
      <c r="AR327" s="12"/>
      <c r="AS327" s="12"/>
      <c r="AT327" s="12"/>
      <c r="AU327" s="12"/>
      <c r="AV327" s="12"/>
      <c r="AW327" s="21"/>
      <c r="AX327" s="128"/>
      <c r="AY327" s="21"/>
      <c r="AZ327" s="128"/>
      <c r="BA327" s="128"/>
      <c r="BB327" s="128"/>
    </row>
    <row r="328" spans="14:54" x14ac:dyDescent="0.25">
      <c r="N328" s="12"/>
      <c r="O328" s="13"/>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5"/>
      <c r="AM328" s="12"/>
      <c r="AN328" s="12"/>
      <c r="AO328" s="12"/>
      <c r="AP328" s="12"/>
      <c r="AQ328" s="12"/>
      <c r="AR328" s="12"/>
      <c r="AS328" s="12"/>
      <c r="AT328" s="12"/>
      <c r="AU328" s="12"/>
      <c r="AV328" s="12"/>
      <c r="AW328" s="21"/>
      <c r="AX328" s="128"/>
      <c r="AY328" s="21"/>
      <c r="AZ328" s="128"/>
      <c r="BA328" s="128"/>
      <c r="BB328" s="128"/>
    </row>
    <row r="329" spans="14:54" x14ac:dyDescent="0.25">
      <c r="N329" s="12"/>
      <c r="O329" s="13"/>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5"/>
      <c r="AM329" s="12"/>
      <c r="AN329" s="12"/>
      <c r="AO329" s="12"/>
      <c r="AP329" s="12"/>
      <c r="AQ329" s="12"/>
      <c r="AR329" s="12"/>
      <c r="AS329" s="12"/>
      <c r="AT329" s="12"/>
      <c r="AU329" s="12"/>
      <c r="AV329" s="12"/>
      <c r="AW329" s="21"/>
      <c r="AX329" s="128"/>
      <c r="AY329" s="21"/>
      <c r="AZ329" s="128"/>
      <c r="BA329" s="128"/>
      <c r="BB329" s="128"/>
    </row>
    <row r="330" spans="14:54" x14ac:dyDescent="0.25">
      <c r="N330" s="12"/>
      <c r="O330" s="13"/>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5"/>
      <c r="AM330" s="12"/>
      <c r="AN330" s="12"/>
      <c r="AO330" s="12"/>
      <c r="AP330" s="12"/>
      <c r="AQ330" s="12"/>
      <c r="AR330" s="12"/>
      <c r="AS330" s="12"/>
      <c r="AT330" s="12"/>
      <c r="AU330" s="12"/>
      <c r="AV330" s="12"/>
      <c r="AW330" s="21"/>
      <c r="AX330" s="128"/>
      <c r="AY330" s="21"/>
      <c r="AZ330" s="128"/>
      <c r="BA330" s="128"/>
      <c r="BB330" s="128"/>
    </row>
    <row r="331" spans="14:54" x14ac:dyDescent="0.25">
      <c r="N331" s="12"/>
      <c r="O331" s="13"/>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5"/>
      <c r="AM331" s="12"/>
      <c r="AN331" s="12"/>
      <c r="AO331" s="12"/>
      <c r="AP331" s="12"/>
      <c r="AQ331" s="12"/>
      <c r="AR331" s="12"/>
      <c r="AS331" s="12"/>
      <c r="AT331" s="12"/>
      <c r="AU331" s="12"/>
      <c r="AV331" s="12"/>
      <c r="AW331" s="21"/>
      <c r="AX331" s="128"/>
      <c r="AY331" s="21"/>
      <c r="AZ331" s="128"/>
      <c r="BA331" s="128"/>
      <c r="BB331" s="128"/>
    </row>
    <row r="332" spans="14:54" x14ac:dyDescent="0.25">
      <c r="N332" s="12"/>
      <c r="O332" s="13"/>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5"/>
      <c r="AM332" s="12"/>
      <c r="AN332" s="12"/>
      <c r="AO332" s="12"/>
      <c r="AP332" s="12"/>
      <c r="AQ332" s="12"/>
      <c r="AR332" s="12"/>
      <c r="AS332" s="12"/>
      <c r="AT332" s="12"/>
      <c r="AU332" s="12"/>
      <c r="AV332" s="12"/>
      <c r="AW332" s="21"/>
      <c r="AX332" s="128"/>
      <c r="AY332" s="21"/>
      <c r="AZ332" s="128"/>
      <c r="BA332" s="128"/>
      <c r="BB332" s="128"/>
    </row>
    <row r="333" spans="14:54" x14ac:dyDescent="0.25">
      <c r="N333" s="12"/>
      <c r="O333" s="13"/>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5"/>
      <c r="AM333" s="12"/>
      <c r="AN333" s="12"/>
      <c r="AO333" s="12"/>
      <c r="AP333" s="12"/>
      <c r="AQ333" s="12"/>
      <c r="AR333" s="12"/>
      <c r="AS333" s="12"/>
      <c r="AT333" s="12"/>
      <c r="AU333" s="12"/>
      <c r="AV333" s="12"/>
      <c r="AW333" s="21"/>
      <c r="AX333" s="128"/>
      <c r="AY333" s="21"/>
      <c r="AZ333" s="128"/>
      <c r="BA333" s="128"/>
      <c r="BB333" s="128"/>
    </row>
    <row r="334" spans="14:54" x14ac:dyDescent="0.25">
      <c r="N334" s="12"/>
      <c r="O334" s="13"/>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5"/>
      <c r="AM334" s="12"/>
      <c r="AN334" s="12"/>
      <c r="AO334" s="12"/>
      <c r="AP334" s="12"/>
      <c r="AQ334" s="12"/>
      <c r="AR334" s="12"/>
      <c r="AS334" s="12"/>
      <c r="AT334" s="12"/>
      <c r="AU334" s="12"/>
      <c r="AV334" s="12"/>
      <c r="AW334" s="21"/>
      <c r="AX334" s="128"/>
      <c r="AY334" s="21"/>
      <c r="AZ334" s="128"/>
      <c r="BA334" s="128"/>
      <c r="BB334" s="128"/>
    </row>
    <row r="335" spans="14:54" x14ac:dyDescent="0.25">
      <c r="N335" s="12"/>
      <c r="O335" s="13"/>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5"/>
      <c r="AM335" s="12"/>
      <c r="AN335" s="12"/>
      <c r="AO335" s="12"/>
      <c r="AP335" s="12"/>
      <c r="AQ335" s="12"/>
      <c r="AR335" s="12"/>
      <c r="AS335" s="12"/>
      <c r="AT335" s="12"/>
      <c r="AU335" s="12"/>
      <c r="AV335" s="12"/>
      <c r="AW335" s="21"/>
      <c r="AX335" s="128"/>
      <c r="AY335" s="21"/>
      <c r="AZ335" s="128"/>
      <c r="BA335" s="128"/>
      <c r="BB335" s="128"/>
    </row>
    <row r="336" spans="14:54" x14ac:dyDescent="0.25">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21"/>
      <c r="AX336" s="128"/>
      <c r="AY336" s="21"/>
      <c r="AZ336" s="128"/>
      <c r="BA336" s="128"/>
      <c r="BB336" s="128"/>
    </row>
    <row r="337" spans="14:54" x14ac:dyDescent="0.25">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21"/>
      <c r="AX337" s="128"/>
      <c r="AY337" s="21"/>
      <c r="AZ337" s="128"/>
      <c r="BA337" s="128"/>
      <c r="BB337" s="128"/>
    </row>
    <row r="338" spans="14:54" x14ac:dyDescent="0.25">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21"/>
      <c r="AX338" s="128"/>
      <c r="AY338" s="21"/>
      <c r="AZ338" s="128"/>
      <c r="BA338" s="128"/>
      <c r="BB338" s="128"/>
    </row>
    <row r="339" spans="14:54" x14ac:dyDescent="0.25">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21"/>
      <c r="AX339" s="128"/>
      <c r="AY339" s="21"/>
      <c r="AZ339" s="128"/>
      <c r="BA339" s="128"/>
      <c r="BB339" s="128"/>
    </row>
    <row r="340" spans="14:54" x14ac:dyDescent="0.25">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21"/>
      <c r="AX340" s="128"/>
      <c r="AY340" s="21"/>
      <c r="AZ340" s="128"/>
      <c r="BA340" s="128"/>
      <c r="BB340" s="128"/>
    </row>
    <row r="341" spans="14:54" x14ac:dyDescent="0.25">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21"/>
      <c r="AX341" s="128"/>
      <c r="AY341" s="21"/>
      <c r="AZ341" s="128"/>
      <c r="BA341" s="128"/>
      <c r="BB341" s="128"/>
    </row>
    <row r="342" spans="14:54" x14ac:dyDescent="0.25">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21"/>
      <c r="AX342" s="128"/>
      <c r="AY342" s="21"/>
      <c r="AZ342" s="128"/>
      <c r="BA342" s="128"/>
      <c r="BB342" s="128"/>
    </row>
    <row r="343" spans="14:54" x14ac:dyDescent="0.25">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21"/>
      <c r="AX343" s="128"/>
      <c r="AY343" s="21"/>
      <c r="AZ343" s="128"/>
      <c r="BA343" s="128"/>
      <c r="BB343" s="128"/>
    </row>
    <row r="344" spans="14:54" x14ac:dyDescent="0.25">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21"/>
      <c r="AX344" s="128"/>
      <c r="AY344" s="21"/>
      <c r="AZ344" s="128"/>
      <c r="BA344" s="128"/>
      <c r="BB344" s="128"/>
    </row>
    <row r="345" spans="14:54" x14ac:dyDescent="0.25">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21"/>
      <c r="AX345" s="128"/>
      <c r="AY345" s="21"/>
      <c r="AZ345" s="128"/>
      <c r="BA345" s="128"/>
      <c r="BB345" s="128"/>
    </row>
  </sheetData>
  <phoneticPr fontId="9" type="noConversion"/>
  <pageMargins left="0.7" right="0.7" top="0.75" bottom="0.75" header="0.3" footer="0.3"/>
  <ignoredErrors>
    <ignoredError sqref="AT33 AT29 AQ29 L124 K160 R182 AB244 AB257" 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5181A-48A4-4B21-AA93-5753EA8BC83F}">
  <dimension ref="A2:F72"/>
  <sheetViews>
    <sheetView showGridLines="0" tabSelected="1" zoomScale="80" zoomScaleNormal="80" workbookViewId="0">
      <selection activeCell="E12" sqref="E12"/>
    </sheetView>
  </sheetViews>
  <sheetFormatPr defaultRowHeight="13.5" customHeight="1" x14ac:dyDescent="0.2"/>
  <cols>
    <col min="1" max="1" width="9.140625" style="150"/>
    <col min="2" max="2" width="23" style="150" customWidth="1"/>
    <col min="3" max="3" width="15.85546875" style="150" customWidth="1"/>
    <col min="4" max="4" width="30.28515625" style="150" customWidth="1"/>
    <col min="5" max="5" width="27.5703125" style="150" customWidth="1"/>
    <col min="6" max="6" width="169.140625" style="150" customWidth="1"/>
    <col min="7" max="16384" width="9.140625" style="150"/>
  </cols>
  <sheetData>
    <row r="2" spans="1:6" ht="13.5" customHeight="1" x14ac:dyDescent="0.2">
      <c r="A2" s="201">
        <v>1</v>
      </c>
      <c r="B2" s="201" t="s">
        <v>967</v>
      </c>
    </row>
    <row r="4" spans="1:6" ht="13.5" customHeight="1" x14ac:dyDescent="0.2">
      <c r="B4" s="153" t="s">
        <v>8</v>
      </c>
      <c r="C4" s="153" t="s">
        <v>12</v>
      </c>
      <c r="D4" s="154" t="s">
        <v>579</v>
      </c>
      <c r="E4" s="153" t="s">
        <v>13</v>
      </c>
      <c r="F4" s="153" t="s">
        <v>657</v>
      </c>
    </row>
    <row r="5" spans="1:6" ht="13.5" customHeight="1" x14ac:dyDescent="0.2">
      <c r="B5" s="155" t="s">
        <v>59</v>
      </c>
      <c r="C5" s="155" t="s">
        <v>60</v>
      </c>
      <c r="D5" s="156" t="s">
        <v>61</v>
      </c>
      <c r="E5" s="155" t="s">
        <v>62</v>
      </c>
      <c r="F5" s="157" t="s">
        <v>663</v>
      </c>
    </row>
    <row r="6" spans="1:6" ht="13.5" customHeight="1" x14ac:dyDescent="0.2">
      <c r="B6" s="155" t="s">
        <v>252</v>
      </c>
      <c r="C6" s="155" t="s">
        <v>264</v>
      </c>
      <c r="D6" s="158" t="s">
        <v>265</v>
      </c>
      <c r="E6" s="202" t="s">
        <v>527</v>
      </c>
      <c r="F6" s="203" t="s">
        <v>980</v>
      </c>
    </row>
    <row r="7" spans="1:6" ht="13.5" customHeight="1" x14ac:dyDescent="0.2">
      <c r="B7" s="155" t="s">
        <v>252</v>
      </c>
      <c r="C7" s="155" t="s">
        <v>264</v>
      </c>
      <c r="D7" s="158" t="s">
        <v>267</v>
      </c>
      <c r="E7" s="202" t="s">
        <v>527</v>
      </c>
      <c r="F7" s="203" t="s">
        <v>981</v>
      </c>
    </row>
    <row r="8" spans="1:6" ht="13.5" customHeight="1" x14ac:dyDescent="0.2">
      <c r="B8" s="155" t="s">
        <v>252</v>
      </c>
      <c r="C8" s="155" t="s">
        <v>264</v>
      </c>
      <c r="D8" s="158" t="s">
        <v>268</v>
      </c>
      <c r="E8" s="202" t="s">
        <v>527</v>
      </c>
      <c r="F8" s="204" t="s">
        <v>963</v>
      </c>
    </row>
    <row r="9" spans="1:6" ht="13.5" customHeight="1" x14ac:dyDescent="0.2">
      <c r="B9" s="155" t="s">
        <v>309</v>
      </c>
      <c r="C9" s="155" t="s">
        <v>310</v>
      </c>
      <c r="D9" s="156" t="s">
        <v>313</v>
      </c>
      <c r="E9" s="155" t="s">
        <v>83</v>
      </c>
      <c r="F9" s="159" t="s">
        <v>658</v>
      </c>
    </row>
    <row r="10" spans="1:6" ht="13.5" customHeight="1" x14ac:dyDescent="0.2">
      <c r="B10" s="155" t="s">
        <v>309</v>
      </c>
      <c r="C10" s="155" t="s">
        <v>321</v>
      </c>
      <c r="D10" s="156" t="s">
        <v>322</v>
      </c>
      <c r="E10" s="202" t="s">
        <v>527</v>
      </c>
      <c r="F10" s="205" t="s">
        <v>964</v>
      </c>
    </row>
    <row r="11" spans="1:6" ht="13.5" customHeight="1" x14ac:dyDescent="0.2">
      <c r="B11" s="155" t="s">
        <v>309</v>
      </c>
      <c r="C11" s="155" t="s">
        <v>328</v>
      </c>
      <c r="D11" s="158" t="s">
        <v>334</v>
      </c>
      <c r="E11" s="155" t="s">
        <v>79</v>
      </c>
      <c r="F11" s="159" t="s">
        <v>965</v>
      </c>
    </row>
    <row r="12" spans="1:6" ht="13.5" customHeight="1" x14ac:dyDescent="0.2">
      <c r="B12" s="155" t="s">
        <v>309</v>
      </c>
      <c r="C12" s="155" t="s">
        <v>328</v>
      </c>
      <c r="D12" s="156" t="s">
        <v>340</v>
      </c>
      <c r="E12" s="202" t="s">
        <v>135</v>
      </c>
      <c r="F12" s="204" t="s">
        <v>966</v>
      </c>
    </row>
    <row r="13" spans="1:6" ht="13.5" customHeight="1" x14ac:dyDescent="0.2">
      <c r="B13" s="155" t="s">
        <v>367</v>
      </c>
      <c r="C13" s="155" t="s">
        <v>387</v>
      </c>
      <c r="D13" s="156" t="s">
        <v>388</v>
      </c>
      <c r="E13" s="202" t="s">
        <v>527</v>
      </c>
      <c r="F13" s="205" t="s">
        <v>969</v>
      </c>
    </row>
    <row r="14" spans="1:6" ht="13.5" customHeight="1" x14ac:dyDescent="0.2">
      <c r="B14" s="155" t="s">
        <v>390</v>
      </c>
      <c r="C14" s="155" t="s">
        <v>401</v>
      </c>
      <c r="D14" s="156" t="s">
        <v>659</v>
      </c>
      <c r="E14" s="155" t="s">
        <v>199</v>
      </c>
      <c r="F14" s="158" t="s">
        <v>660</v>
      </c>
    </row>
    <row r="15" spans="1:6" ht="13.5" customHeight="1" x14ac:dyDescent="0.2">
      <c r="B15" s="155" t="s">
        <v>444</v>
      </c>
      <c r="C15" s="155" t="s">
        <v>471</v>
      </c>
      <c r="D15" s="156" t="s">
        <v>982</v>
      </c>
      <c r="E15" s="155" t="s">
        <v>527</v>
      </c>
      <c r="F15" s="158" t="s">
        <v>971</v>
      </c>
    </row>
    <row r="16" spans="1:6" ht="13.5" customHeight="1" x14ac:dyDescent="0.2">
      <c r="B16" s="155" t="s">
        <v>444</v>
      </c>
      <c r="C16" s="155" t="s">
        <v>453</v>
      </c>
      <c r="D16" s="158" t="s">
        <v>456</v>
      </c>
      <c r="E16" s="202" t="s">
        <v>527</v>
      </c>
      <c r="F16" s="203" t="s">
        <v>972</v>
      </c>
    </row>
    <row r="17" spans="1:6" ht="13.5" customHeight="1" x14ac:dyDescent="0.2">
      <c r="B17" s="155" t="s">
        <v>444</v>
      </c>
      <c r="C17" s="155" t="s">
        <v>453</v>
      </c>
      <c r="D17" s="160" t="s">
        <v>458</v>
      </c>
      <c r="E17" s="202" t="s">
        <v>533</v>
      </c>
      <c r="F17" s="203" t="s">
        <v>973</v>
      </c>
    </row>
    <row r="18" spans="1:6" ht="13.5" customHeight="1" x14ac:dyDescent="0.2">
      <c r="B18" s="155" t="s">
        <v>444</v>
      </c>
      <c r="C18" s="155" t="s">
        <v>453</v>
      </c>
      <c r="D18" s="158" t="s">
        <v>460</v>
      </c>
      <c r="E18" s="202" t="s">
        <v>527</v>
      </c>
      <c r="F18" s="203" t="s">
        <v>974</v>
      </c>
    </row>
    <row r="21" spans="1:6" ht="13.5" customHeight="1" x14ac:dyDescent="0.2">
      <c r="A21" s="201">
        <v>2</v>
      </c>
      <c r="B21" s="201" t="s">
        <v>968</v>
      </c>
    </row>
    <row r="22" spans="1:6" ht="13.5" customHeight="1" x14ac:dyDescent="0.2">
      <c r="A22" s="201"/>
      <c r="B22" s="201"/>
    </row>
    <row r="23" spans="1:6" ht="13.5" customHeight="1" x14ac:dyDescent="0.2">
      <c r="A23" s="201"/>
      <c r="B23" s="201" t="s">
        <v>983</v>
      </c>
    </row>
    <row r="24" spans="1:6" ht="13.5" customHeight="1" x14ac:dyDescent="0.2">
      <c r="A24" s="201"/>
      <c r="B24" s="201"/>
    </row>
    <row r="25" spans="1:6" ht="13.5" customHeight="1" x14ac:dyDescent="0.2">
      <c r="B25" s="150" t="s">
        <v>302</v>
      </c>
    </row>
    <row r="26" spans="1:6" ht="13.5" customHeight="1" x14ac:dyDescent="0.2">
      <c r="B26" s="150" t="s">
        <v>323</v>
      </c>
    </row>
    <row r="27" spans="1:6" ht="13.5" customHeight="1" x14ac:dyDescent="0.2">
      <c r="B27" s="150" t="s">
        <v>325</v>
      </c>
    </row>
    <row r="28" spans="1:6" ht="13.5" customHeight="1" x14ac:dyDescent="0.2">
      <c r="B28" s="150" t="s">
        <v>362</v>
      </c>
    </row>
    <row r="29" spans="1:6" ht="13.5" customHeight="1" x14ac:dyDescent="0.2">
      <c r="B29" s="150" t="s">
        <v>427</v>
      </c>
    </row>
    <row r="30" spans="1:6" ht="13.5" customHeight="1" x14ac:dyDescent="0.2">
      <c r="B30" s="150" t="s">
        <v>429</v>
      </c>
    </row>
    <row r="31" spans="1:6" ht="13.5" customHeight="1" x14ac:dyDescent="0.2">
      <c r="B31" s="150" t="s">
        <v>431</v>
      </c>
    </row>
    <row r="32" spans="1:6" ht="13.5" customHeight="1" x14ac:dyDescent="0.2">
      <c r="B32" s="150" t="s">
        <v>562</v>
      </c>
    </row>
    <row r="33" spans="2:2" ht="13.5" customHeight="1" x14ac:dyDescent="0.2">
      <c r="B33" s="150" t="s">
        <v>501</v>
      </c>
    </row>
    <row r="34" spans="2:2" ht="13.5" customHeight="1" x14ac:dyDescent="0.2">
      <c r="B34" s="150" t="s">
        <v>569</v>
      </c>
    </row>
    <row r="35" spans="2:2" ht="13.5" customHeight="1" x14ac:dyDescent="0.2">
      <c r="B35" s="150" t="s">
        <v>503</v>
      </c>
    </row>
    <row r="36" spans="2:2" ht="13.5" customHeight="1" x14ac:dyDescent="0.2">
      <c r="B36" s="150" t="s">
        <v>504</v>
      </c>
    </row>
    <row r="37" spans="2:2" ht="13.5" customHeight="1" x14ac:dyDescent="0.2">
      <c r="B37" s="150" t="s">
        <v>505</v>
      </c>
    </row>
    <row r="38" spans="2:2" ht="13.5" customHeight="1" x14ac:dyDescent="0.2">
      <c r="B38" s="150" t="s">
        <v>559</v>
      </c>
    </row>
    <row r="39" spans="2:2" ht="13.5" customHeight="1" x14ac:dyDescent="0.2">
      <c r="B39" s="150" t="s">
        <v>506</v>
      </c>
    </row>
    <row r="40" spans="2:2" ht="13.5" customHeight="1" x14ac:dyDescent="0.2">
      <c r="B40" s="150" t="s">
        <v>507</v>
      </c>
    </row>
    <row r="41" spans="2:2" ht="13.5" customHeight="1" x14ac:dyDescent="0.2">
      <c r="B41" s="150" t="s">
        <v>508</v>
      </c>
    </row>
    <row r="42" spans="2:2" ht="13.5" customHeight="1" x14ac:dyDescent="0.2">
      <c r="B42" s="150" t="s">
        <v>509</v>
      </c>
    </row>
    <row r="43" spans="2:2" ht="13.5" customHeight="1" x14ac:dyDescent="0.2">
      <c r="B43" s="150" t="s">
        <v>510</v>
      </c>
    </row>
    <row r="44" spans="2:2" ht="13.5" customHeight="1" x14ac:dyDescent="0.2">
      <c r="B44" s="150" t="s">
        <v>560</v>
      </c>
    </row>
    <row r="45" spans="2:2" ht="13.5" customHeight="1" x14ac:dyDescent="0.2">
      <c r="B45" s="150" t="s">
        <v>511</v>
      </c>
    </row>
    <row r="46" spans="2:2" ht="13.5" customHeight="1" x14ac:dyDescent="0.2">
      <c r="B46" s="150" t="s">
        <v>561</v>
      </c>
    </row>
    <row r="47" spans="2:2" ht="13.5" customHeight="1" x14ac:dyDescent="0.2">
      <c r="B47" s="150" t="s">
        <v>514</v>
      </c>
    </row>
    <row r="49" spans="1:2" ht="13.5" customHeight="1" x14ac:dyDescent="0.2">
      <c r="A49" s="150">
        <v>3</v>
      </c>
      <c r="B49" s="201" t="s">
        <v>984</v>
      </c>
    </row>
    <row r="51" spans="1:2" ht="13.5" customHeight="1" x14ac:dyDescent="0.2">
      <c r="B51" s="150" t="s">
        <v>407</v>
      </c>
    </row>
    <row r="52" spans="1:2" ht="13.5" customHeight="1" x14ac:dyDescent="0.2">
      <c r="B52" s="150" t="s">
        <v>431</v>
      </c>
    </row>
    <row r="53" spans="1:2" ht="13.5" customHeight="1" x14ac:dyDescent="0.2">
      <c r="B53" s="150" t="s">
        <v>432</v>
      </c>
    </row>
    <row r="54" spans="1:2" ht="13.5" customHeight="1" x14ac:dyDescent="0.2">
      <c r="B54" s="150" t="s">
        <v>427</v>
      </c>
    </row>
    <row r="55" spans="1:2" ht="13.5" customHeight="1" x14ac:dyDescent="0.2">
      <c r="B55" s="150" t="s">
        <v>429</v>
      </c>
    </row>
    <row r="56" spans="1:2" ht="13.5" customHeight="1" x14ac:dyDescent="0.2">
      <c r="B56" s="150" t="s">
        <v>431</v>
      </c>
    </row>
    <row r="57" spans="1:2" ht="13.5" customHeight="1" x14ac:dyDescent="0.2">
      <c r="B57" s="150" t="s">
        <v>562</v>
      </c>
    </row>
    <row r="58" spans="1:2" ht="13.5" customHeight="1" x14ac:dyDescent="0.2">
      <c r="B58" s="150" t="s">
        <v>501</v>
      </c>
    </row>
    <row r="59" spans="1:2" ht="13.5" customHeight="1" x14ac:dyDescent="0.2">
      <c r="B59" s="150" t="s">
        <v>569</v>
      </c>
    </row>
    <row r="60" spans="1:2" ht="13.5" customHeight="1" x14ac:dyDescent="0.2">
      <c r="B60" s="150" t="s">
        <v>503</v>
      </c>
    </row>
    <row r="61" spans="1:2" ht="13.5" customHeight="1" x14ac:dyDescent="0.2">
      <c r="B61" s="150" t="s">
        <v>504</v>
      </c>
    </row>
    <row r="62" spans="1:2" ht="13.5" customHeight="1" x14ac:dyDescent="0.2">
      <c r="B62" s="150" t="s">
        <v>505</v>
      </c>
    </row>
    <row r="63" spans="1:2" ht="13.5" customHeight="1" x14ac:dyDescent="0.2">
      <c r="B63" s="150" t="s">
        <v>559</v>
      </c>
    </row>
    <row r="64" spans="1:2" ht="13.5" customHeight="1" x14ac:dyDescent="0.2">
      <c r="B64" s="150" t="s">
        <v>506</v>
      </c>
    </row>
    <row r="65" spans="2:2" ht="13.5" customHeight="1" x14ac:dyDescent="0.2">
      <c r="B65" s="150" t="s">
        <v>507</v>
      </c>
    </row>
    <row r="66" spans="2:2" ht="13.5" customHeight="1" x14ac:dyDescent="0.2">
      <c r="B66" s="150" t="s">
        <v>508</v>
      </c>
    </row>
    <row r="67" spans="2:2" ht="13.5" customHeight="1" x14ac:dyDescent="0.2">
      <c r="B67" s="150" t="s">
        <v>509</v>
      </c>
    </row>
    <row r="68" spans="2:2" ht="13.5" customHeight="1" x14ac:dyDescent="0.2">
      <c r="B68" s="150" t="s">
        <v>510</v>
      </c>
    </row>
    <row r="69" spans="2:2" ht="13.5" customHeight="1" x14ac:dyDescent="0.2">
      <c r="B69" s="150" t="s">
        <v>560</v>
      </c>
    </row>
    <row r="70" spans="2:2" ht="13.5" customHeight="1" x14ac:dyDescent="0.2">
      <c r="B70" s="150" t="s">
        <v>511</v>
      </c>
    </row>
    <row r="71" spans="2:2" ht="13.5" customHeight="1" x14ac:dyDescent="0.2">
      <c r="B71" s="150" t="s">
        <v>561</v>
      </c>
    </row>
    <row r="72" spans="2:2" ht="13.5" customHeight="1" x14ac:dyDescent="0.2">
      <c r="B72" s="150" t="s">
        <v>514</v>
      </c>
    </row>
  </sheetData>
  <sheetProtection algorithmName="SHA-512" hashValue="FIZojeDfqWqGLX/MUTYUvLBAASBPDdH0sxlZqkm1uLfsrz+7BgXDbnfRJRbfzUl2/589y2NbZl+8w59Tzlm81g==" saltValue="llrW+bGnP0/giFryGu0DJ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05AA-64A8-4496-B795-4E2F1CA63753}">
  <dimension ref="B2:AL341"/>
  <sheetViews>
    <sheetView showGridLines="0" zoomScale="80" zoomScaleNormal="80" workbookViewId="0">
      <pane xSplit="4" ySplit="2" topLeftCell="E3" activePane="bottomRight" state="frozen"/>
      <selection activeCell="C49" sqref="C49"/>
      <selection pane="topRight" activeCell="C49" sqref="C49"/>
      <selection pane="bottomLeft" activeCell="C49" sqref="C49"/>
      <selection pane="bottomRight" activeCell="E23" sqref="E23"/>
    </sheetView>
  </sheetViews>
  <sheetFormatPr defaultRowHeight="12.75" x14ac:dyDescent="0.2"/>
  <cols>
    <col min="1" max="1" width="2.28515625" style="167" customWidth="1"/>
    <col min="2" max="2" width="36.42578125" style="167" customWidth="1"/>
    <col min="3" max="3" width="30.7109375" style="167" customWidth="1"/>
    <col min="4" max="4" width="82" style="170" customWidth="1"/>
    <col min="5" max="5" width="30.28515625" style="167" customWidth="1"/>
    <col min="6" max="6" width="25.5703125" style="174" customWidth="1"/>
    <col min="7" max="7" width="21.85546875" style="177" customWidth="1"/>
    <col min="8" max="8" width="22" style="177" customWidth="1"/>
    <col min="9" max="9" width="20.140625" style="174" customWidth="1"/>
    <col min="10" max="10" width="26.28515625" style="177" customWidth="1"/>
    <col min="11" max="11" width="33.5703125" style="173" customWidth="1"/>
    <col min="12" max="12" width="26.5703125" style="174" customWidth="1"/>
    <col min="13" max="13" width="27.85546875" style="174" customWidth="1"/>
    <col min="14" max="14" width="21.85546875" style="174" customWidth="1"/>
    <col min="15" max="15" width="34" style="174" customWidth="1"/>
    <col min="16" max="16" width="26.85546875" style="188" customWidth="1"/>
    <col min="17" max="17" width="21.85546875" style="174" customWidth="1"/>
    <col min="18" max="18" width="21.42578125" style="174" customWidth="1"/>
    <col min="19" max="19" width="21.140625" style="174" customWidth="1"/>
    <col min="20" max="20" width="19.42578125" style="174" customWidth="1"/>
    <col min="21" max="21" width="17.28515625" style="174" customWidth="1"/>
    <col min="22" max="22" width="21.5703125" style="174" customWidth="1"/>
    <col min="23" max="23" width="19.7109375" style="174" customWidth="1"/>
    <col min="24" max="24" width="20.140625" style="174" customWidth="1"/>
    <col min="25" max="25" width="19.5703125" style="174" customWidth="1"/>
    <col min="26" max="26" width="23.42578125" style="174" customWidth="1"/>
    <col min="27" max="27" width="17.140625" style="174" customWidth="1"/>
    <col min="28" max="28" width="19.5703125" style="174" customWidth="1"/>
    <col min="29" max="29" width="22" style="174" customWidth="1"/>
    <col min="30" max="30" width="21.7109375" style="174" customWidth="1"/>
    <col min="31" max="35" width="19.85546875" style="174" customWidth="1"/>
    <col min="36" max="36" width="22.7109375" style="174" customWidth="1"/>
    <col min="37" max="37" width="71.140625" style="167" customWidth="1"/>
    <col min="38" max="16384" width="9.140625" style="167"/>
  </cols>
  <sheetData>
    <row r="2" spans="2:38" s="166" customFormat="1" ht="66.75" customHeight="1" x14ac:dyDescent="0.2">
      <c r="B2" s="161" t="s">
        <v>8</v>
      </c>
      <c r="C2" s="161" t="s">
        <v>12</v>
      </c>
      <c r="D2" s="162" t="s">
        <v>7</v>
      </c>
      <c r="E2" s="161" t="s">
        <v>13</v>
      </c>
      <c r="F2" s="161" t="s">
        <v>960</v>
      </c>
      <c r="G2" s="185" t="s">
        <v>1013</v>
      </c>
      <c r="H2" s="163" t="s">
        <v>1014</v>
      </c>
      <c r="I2" s="162" t="s">
        <v>1015</v>
      </c>
      <c r="J2" s="163" t="s">
        <v>1016</v>
      </c>
      <c r="K2" s="186" t="s">
        <v>1017</v>
      </c>
      <c r="L2" s="162" t="s">
        <v>1018</v>
      </c>
      <c r="M2" s="162" t="s">
        <v>975</v>
      </c>
      <c r="N2" s="162" t="s">
        <v>976</v>
      </c>
      <c r="O2" s="162" t="s">
        <v>977</v>
      </c>
      <c r="P2" s="187" t="s">
        <v>978</v>
      </c>
      <c r="Q2" s="162" t="s">
        <v>979</v>
      </c>
      <c r="R2" s="162" t="s">
        <v>911</v>
      </c>
      <c r="S2" s="162" t="s">
        <v>913</v>
      </c>
      <c r="T2" s="162" t="s">
        <v>914</v>
      </c>
      <c r="U2" s="162" t="s">
        <v>912</v>
      </c>
      <c r="V2" s="161" t="s">
        <v>915</v>
      </c>
      <c r="W2" s="162" t="s">
        <v>961</v>
      </c>
      <c r="X2" s="162" t="s">
        <v>962</v>
      </c>
      <c r="Y2" s="162" t="s">
        <v>954</v>
      </c>
      <c r="Z2" s="189" t="s">
        <v>916</v>
      </c>
      <c r="AA2" s="162" t="s">
        <v>917</v>
      </c>
      <c r="AB2" s="161" t="s">
        <v>918</v>
      </c>
      <c r="AC2" s="162" t="s">
        <v>919</v>
      </c>
      <c r="AD2" s="162" t="s">
        <v>920</v>
      </c>
      <c r="AE2" s="162" t="s">
        <v>921</v>
      </c>
      <c r="AF2" s="162" t="s">
        <v>648</v>
      </c>
      <c r="AG2" s="162" t="s">
        <v>922</v>
      </c>
      <c r="AH2" s="162" t="s">
        <v>756</v>
      </c>
      <c r="AI2" s="162" t="s">
        <v>923</v>
      </c>
      <c r="AJ2" s="162" t="s">
        <v>574</v>
      </c>
    </row>
    <row r="3" spans="2:38" x14ac:dyDescent="0.2">
      <c r="B3" s="214" t="s">
        <v>59</v>
      </c>
      <c r="C3" s="214" t="s">
        <v>60</v>
      </c>
      <c r="D3" s="215" t="s">
        <v>61</v>
      </c>
      <c r="E3" s="216" t="s">
        <v>62</v>
      </c>
      <c r="F3" s="217"/>
      <c r="G3" s="218"/>
      <c r="H3" s="218"/>
      <c r="I3" s="219"/>
      <c r="J3" s="220"/>
      <c r="K3" s="219"/>
      <c r="L3" s="221"/>
      <c r="M3" s="221"/>
      <c r="N3" s="222"/>
      <c r="O3" s="221" t="s">
        <v>0</v>
      </c>
      <c r="P3" s="223"/>
      <c r="Q3" s="224"/>
      <c r="R3" s="225"/>
      <c r="S3" s="226"/>
      <c r="T3" s="226"/>
      <c r="U3" s="226"/>
      <c r="V3" s="226"/>
      <c r="W3" s="220"/>
      <c r="X3" s="224"/>
      <c r="Y3" s="220"/>
      <c r="Z3" s="219"/>
      <c r="AA3" s="226"/>
      <c r="AB3" s="227"/>
      <c r="AC3" s="226"/>
      <c r="AD3" s="228"/>
      <c r="AE3" s="226"/>
      <c r="AF3" s="229"/>
      <c r="AG3" s="230"/>
      <c r="AH3" s="231"/>
      <c r="AI3" s="231"/>
      <c r="AJ3" s="231"/>
      <c r="AK3" s="150"/>
    </row>
    <row r="4" spans="2:38" x14ac:dyDescent="0.2">
      <c r="B4" s="214" t="s">
        <v>59</v>
      </c>
      <c r="C4" s="214" t="s">
        <v>64</v>
      </c>
      <c r="D4" s="232" t="s">
        <v>65</v>
      </c>
      <c r="E4" s="216" t="s">
        <v>66</v>
      </c>
      <c r="F4" s="233"/>
      <c r="G4" s="218"/>
      <c r="H4" s="220"/>
      <c r="I4" s="220"/>
      <c r="J4" s="220"/>
      <c r="K4" s="222"/>
      <c r="L4" s="221"/>
      <c r="M4" s="221"/>
      <c r="N4" s="222"/>
      <c r="O4" s="221"/>
      <c r="P4" s="223"/>
      <c r="Q4" s="221"/>
      <c r="R4" s="234"/>
      <c r="S4" s="235"/>
      <c r="T4" s="235"/>
      <c r="U4" s="235"/>
      <c r="V4" s="235"/>
      <c r="W4" s="218"/>
      <c r="X4" s="224"/>
      <c r="Y4" s="218"/>
      <c r="Z4" s="222"/>
      <c r="AA4" s="235"/>
      <c r="AB4" s="236"/>
      <c r="AC4" s="226"/>
      <c r="AD4" s="228"/>
      <c r="AE4" s="226"/>
      <c r="AF4" s="237"/>
      <c r="AG4" s="238"/>
      <c r="AH4" s="239"/>
      <c r="AI4" s="239"/>
      <c r="AJ4" s="239"/>
      <c r="AK4" s="150"/>
    </row>
    <row r="5" spans="2:38" x14ac:dyDescent="0.2">
      <c r="B5" s="214" t="s">
        <v>59</v>
      </c>
      <c r="C5" s="214" t="s">
        <v>69</v>
      </c>
      <c r="D5" s="215" t="s">
        <v>669</v>
      </c>
      <c r="E5" s="216" t="s">
        <v>96</v>
      </c>
      <c r="F5" s="217"/>
      <c r="G5" s="218"/>
      <c r="H5" s="218"/>
      <c r="I5" s="219"/>
      <c r="J5" s="220"/>
      <c r="K5" s="219"/>
      <c r="L5" s="221"/>
      <c r="M5" s="221"/>
      <c r="N5" s="222"/>
      <c r="O5" s="221"/>
      <c r="P5" s="223"/>
      <c r="Q5" s="221"/>
      <c r="R5" s="225"/>
      <c r="S5" s="226"/>
      <c r="T5" s="235"/>
      <c r="U5" s="226"/>
      <c r="V5" s="226"/>
      <c r="W5" s="220"/>
      <c r="X5" s="224"/>
      <c r="Y5" s="220"/>
      <c r="Z5" s="219"/>
      <c r="AA5" s="226"/>
      <c r="AB5" s="227"/>
      <c r="AC5" s="226"/>
      <c r="AD5" s="228"/>
      <c r="AE5" s="226"/>
      <c r="AF5" s="229"/>
      <c r="AG5" s="230"/>
      <c r="AH5" s="231"/>
      <c r="AI5" s="231"/>
      <c r="AJ5" s="231"/>
      <c r="AK5" s="150"/>
    </row>
    <row r="6" spans="2:38" x14ac:dyDescent="0.2">
      <c r="B6" s="214" t="s">
        <v>59</v>
      </c>
      <c r="C6" s="214" t="s">
        <v>74</v>
      </c>
      <c r="D6" s="215" t="s">
        <v>75</v>
      </c>
      <c r="E6" s="216" t="s">
        <v>66</v>
      </c>
      <c r="F6" s="233"/>
      <c r="G6" s="218"/>
      <c r="H6" s="220"/>
      <c r="I6" s="220"/>
      <c r="J6" s="220"/>
      <c r="K6" s="222"/>
      <c r="L6" s="221"/>
      <c r="M6" s="221"/>
      <c r="N6" s="222"/>
      <c r="O6" s="221"/>
      <c r="P6" s="223"/>
      <c r="Q6" s="221"/>
      <c r="R6" s="225"/>
      <c r="S6" s="235"/>
      <c r="T6" s="235"/>
      <c r="U6" s="235"/>
      <c r="V6" s="226"/>
      <c r="W6" s="220"/>
      <c r="X6" s="224"/>
      <c r="Y6" s="220"/>
      <c r="Z6" s="222"/>
      <c r="AA6" s="235"/>
      <c r="AB6" s="227"/>
      <c r="AC6" s="226"/>
      <c r="AD6" s="228"/>
      <c r="AE6" s="226"/>
      <c r="AF6" s="240"/>
      <c r="AG6" s="238"/>
      <c r="AH6" s="239"/>
      <c r="AI6" s="239"/>
      <c r="AJ6" s="239"/>
      <c r="AK6" s="150"/>
    </row>
    <row r="7" spans="2:38" x14ac:dyDescent="0.2">
      <c r="B7" s="214" t="s">
        <v>59</v>
      </c>
      <c r="C7" s="214" t="s">
        <v>77</v>
      </c>
      <c r="D7" s="215" t="s">
        <v>78</v>
      </c>
      <c r="E7" s="216" t="s">
        <v>79</v>
      </c>
      <c r="F7" s="217"/>
      <c r="G7" s="218"/>
      <c r="H7" s="218"/>
      <c r="I7" s="219"/>
      <c r="J7" s="218"/>
      <c r="K7" s="219"/>
      <c r="L7" s="221"/>
      <c r="M7" s="221"/>
      <c r="N7" s="222"/>
      <c r="O7" s="221"/>
      <c r="P7" s="223"/>
      <c r="Q7" s="224"/>
      <c r="R7" s="225"/>
      <c r="S7" s="226"/>
      <c r="T7" s="226"/>
      <c r="U7" s="226"/>
      <c r="V7" s="226"/>
      <c r="W7" s="218"/>
      <c r="X7" s="224"/>
      <c r="Y7" s="218"/>
      <c r="Z7" s="219"/>
      <c r="AA7" s="226"/>
      <c r="AB7" s="227"/>
      <c r="AC7" s="226"/>
      <c r="AD7" s="228"/>
      <c r="AE7" s="226"/>
      <c r="AF7" s="229"/>
      <c r="AG7" s="238"/>
      <c r="AH7" s="231"/>
      <c r="AI7" s="239"/>
      <c r="AJ7" s="231"/>
      <c r="AK7" s="150"/>
    </row>
    <row r="8" spans="2:38" x14ac:dyDescent="0.2">
      <c r="B8" s="214" t="s">
        <v>59</v>
      </c>
      <c r="C8" s="214" t="s">
        <v>81</v>
      </c>
      <c r="D8" s="215" t="s">
        <v>82</v>
      </c>
      <c r="E8" s="216" t="s">
        <v>83</v>
      </c>
      <c r="F8" s="217"/>
      <c r="G8" s="220"/>
      <c r="H8" s="220"/>
      <c r="I8" s="219"/>
      <c r="J8" s="220"/>
      <c r="K8" s="222"/>
      <c r="L8" s="221"/>
      <c r="M8" s="221"/>
      <c r="N8" s="222"/>
      <c r="O8" s="221"/>
      <c r="P8" s="223"/>
      <c r="Q8" s="221"/>
      <c r="R8" s="234"/>
      <c r="S8" s="235"/>
      <c r="T8" s="235"/>
      <c r="U8" s="235"/>
      <c r="V8" s="235"/>
      <c r="W8" s="220"/>
      <c r="X8" s="221"/>
      <c r="Y8" s="220"/>
      <c r="Z8" s="222"/>
      <c r="AA8" s="235"/>
      <c r="AB8" s="236"/>
      <c r="AC8" s="226"/>
      <c r="AD8" s="223"/>
      <c r="AE8" s="235"/>
      <c r="AF8" s="237"/>
      <c r="AG8" s="238"/>
      <c r="AH8" s="239"/>
      <c r="AI8" s="239"/>
      <c r="AJ8" s="239"/>
      <c r="AK8" s="150"/>
    </row>
    <row r="9" spans="2:38" x14ac:dyDescent="0.2">
      <c r="B9" s="214" t="s">
        <v>59</v>
      </c>
      <c r="C9" s="214" t="s">
        <v>85</v>
      </c>
      <c r="D9" s="232" t="s">
        <v>86</v>
      </c>
      <c r="E9" s="216" t="s">
        <v>83</v>
      </c>
      <c r="F9" s="217"/>
      <c r="G9" s="218"/>
      <c r="H9" s="218"/>
      <c r="I9" s="219"/>
      <c r="J9" s="218"/>
      <c r="K9" s="219"/>
      <c r="L9" s="221"/>
      <c r="M9" s="221"/>
      <c r="N9" s="222"/>
      <c r="O9" s="221"/>
      <c r="P9" s="223"/>
      <c r="Q9" s="221"/>
      <c r="R9" s="225"/>
      <c r="S9" s="226"/>
      <c r="T9" s="226"/>
      <c r="U9" s="235"/>
      <c r="V9" s="226"/>
      <c r="W9" s="218"/>
      <c r="X9" s="224"/>
      <c r="Y9" s="218"/>
      <c r="Z9" s="219"/>
      <c r="AA9" s="226"/>
      <c r="AB9" s="227"/>
      <c r="AC9" s="226"/>
      <c r="AD9" s="228"/>
      <c r="AE9" s="226"/>
      <c r="AF9" s="229"/>
      <c r="AG9" s="230"/>
      <c r="AH9" s="231"/>
      <c r="AI9" s="231"/>
      <c r="AJ9" s="231"/>
      <c r="AK9" s="150"/>
    </row>
    <row r="10" spans="2:38" x14ac:dyDescent="0.2">
      <c r="B10" s="214" t="s">
        <v>59</v>
      </c>
      <c r="C10" s="214" t="s">
        <v>89</v>
      </c>
      <c r="D10" s="215" t="s">
        <v>90</v>
      </c>
      <c r="E10" s="216" t="s">
        <v>135</v>
      </c>
      <c r="F10" s="217"/>
      <c r="G10" s="218"/>
      <c r="H10" s="218"/>
      <c r="I10" s="220"/>
      <c r="J10" s="220"/>
      <c r="K10" s="219"/>
      <c r="L10" s="221"/>
      <c r="M10" s="221"/>
      <c r="N10" s="222"/>
      <c r="O10" s="224"/>
      <c r="P10" s="228"/>
      <c r="Q10" s="224"/>
      <c r="R10" s="225"/>
      <c r="S10" s="226"/>
      <c r="T10" s="226"/>
      <c r="U10" s="226"/>
      <c r="V10" s="226"/>
      <c r="W10" s="218"/>
      <c r="X10" s="224"/>
      <c r="Y10" s="218"/>
      <c r="Z10" s="219"/>
      <c r="AA10" s="226"/>
      <c r="AB10" s="227"/>
      <c r="AC10" s="226"/>
      <c r="AD10" s="228"/>
      <c r="AE10" s="226"/>
      <c r="AF10" s="229"/>
      <c r="AG10" s="230"/>
      <c r="AH10" s="231"/>
      <c r="AI10" s="231"/>
      <c r="AJ10" s="231"/>
      <c r="AK10" s="150"/>
    </row>
    <row r="11" spans="2:38" x14ac:dyDescent="0.2">
      <c r="B11" s="214" t="s">
        <v>59</v>
      </c>
      <c r="C11" s="214" t="s">
        <v>89</v>
      </c>
      <c r="D11" s="215" t="s">
        <v>93</v>
      </c>
      <c r="E11" s="216" t="s">
        <v>91</v>
      </c>
      <c r="F11" s="217"/>
      <c r="G11" s="218"/>
      <c r="H11" s="218"/>
      <c r="I11" s="219"/>
      <c r="J11" s="218"/>
      <c r="K11" s="219"/>
      <c r="L11" s="221"/>
      <c r="M11" s="221"/>
      <c r="N11" s="222"/>
      <c r="O11" s="221"/>
      <c r="P11" s="228"/>
      <c r="Q11" s="224"/>
      <c r="R11" s="225"/>
      <c r="S11" s="226"/>
      <c r="T11" s="235"/>
      <c r="U11" s="235"/>
      <c r="V11" s="226"/>
      <c r="W11" s="218"/>
      <c r="X11" s="224"/>
      <c r="Y11" s="218"/>
      <c r="Z11" s="219"/>
      <c r="AA11" s="226"/>
      <c r="AB11" s="227"/>
      <c r="AC11" s="226"/>
      <c r="AD11" s="228"/>
      <c r="AE11" s="226"/>
      <c r="AF11" s="229"/>
      <c r="AG11" s="230"/>
      <c r="AH11" s="231"/>
      <c r="AI11" s="231"/>
      <c r="AJ11" s="231"/>
      <c r="AK11" s="150"/>
    </row>
    <row r="12" spans="2:38" x14ac:dyDescent="0.2">
      <c r="B12" s="214" t="s">
        <v>59</v>
      </c>
      <c r="C12" s="214" t="s">
        <v>94</v>
      </c>
      <c r="D12" s="232" t="s">
        <v>95</v>
      </c>
      <c r="E12" s="216" t="s">
        <v>199</v>
      </c>
      <c r="F12" s="217"/>
      <c r="G12" s="218"/>
      <c r="H12" s="218"/>
      <c r="I12" s="220"/>
      <c r="J12" s="220"/>
      <c r="K12" s="219"/>
      <c r="L12" s="221"/>
      <c r="M12" s="221"/>
      <c r="N12" s="222"/>
      <c r="O12" s="221"/>
      <c r="P12" s="223"/>
      <c r="Q12" s="221"/>
      <c r="R12" s="234"/>
      <c r="S12" s="235"/>
      <c r="T12" s="235"/>
      <c r="U12" s="235"/>
      <c r="V12" s="235"/>
      <c r="W12" s="220"/>
      <c r="X12" s="221"/>
      <c r="Y12" s="220"/>
      <c r="Z12" s="222"/>
      <c r="AA12" s="235"/>
      <c r="AB12" s="236"/>
      <c r="AC12" s="226"/>
      <c r="AD12" s="223"/>
      <c r="AE12" s="235"/>
      <c r="AF12" s="237"/>
      <c r="AG12" s="238"/>
      <c r="AH12" s="239"/>
      <c r="AI12" s="239"/>
      <c r="AJ12" s="239"/>
      <c r="AK12" s="150"/>
    </row>
    <row r="13" spans="2:38" x14ac:dyDescent="0.2">
      <c r="B13" s="214" t="s">
        <v>59</v>
      </c>
      <c r="C13" s="214" t="s">
        <v>98</v>
      </c>
      <c r="D13" s="215" t="s">
        <v>99</v>
      </c>
      <c r="E13" s="216" t="s">
        <v>565</v>
      </c>
      <c r="F13" s="217"/>
      <c r="G13" s="218"/>
      <c r="H13" s="218"/>
      <c r="I13" s="219"/>
      <c r="J13" s="218"/>
      <c r="K13" s="219"/>
      <c r="L13" s="224"/>
      <c r="M13" s="221"/>
      <c r="N13" s="219"/>
      <c r="O13" s="221"/>
      <c r="P13" s="228"/>
      <c r="Q13" s="224"/>
      <c r="R13" s="225"/>
      <c r="S13" s="226"/>
      <c r="T13" s="235"/>
      <c r="U13" s="235"/>
      <c r="V13" s="226"/>
      <c r="W13" s="220"/>
      <c r="X13" s="224"/>
      <c r="Y13" s="218"/>
      <c r="Z13" s="219"/>
      <c r="AA13" s="226"/>
      <c r="AB13" s="227"/>
      <c r="AC13" s="226"/>
      <c r="AD13" s="228"/>
      <c r="AE13" s="226"/>
      <c r="AF13" s="229"/>
      <c r="AG13" s="230"/>
      <c r="AH13" s="231"/>
      <c r="AI13" s="231"/>
      <c r="AJ13" s="231"/>
      <c r="AK13" s="150"/>
    </row>
    <row r="14" spans="2:38" x14ac:dyDescent="0.2">
      <c r="B14" s="214" t="s">
        <v>103</v>
      </c>
      <c r="C14" s="214" t="s">
        <v>104</v>
      </c>
      <c r="D14" s="232" t="s">
        <v>105</v>
      </c>
      <c r="E14" s="216" t="s">
        <v>83</v>
      </c>
      <c r="F14" s="217"/>
      <c r="G14" s="218"/>
      <c r="H14" s="218"/>
      <c r="I14" s="220"/>
      <c r="J14" s="220"/>
      <c r="K14" s="219"/>
      <c r="L14" s="221"/>
      <c r="M14" s="221"/>
      <c r="N14" s="222"/>
      <c r="O14" s="221"/>
      <c r="P14" s="223"/>
      <c r="Q14" s="221"/>
      <c r="R14" s="225"/>
      <c r="S14" s="235"/>
      <c r="T14" s="235"/>
      <c r="U14" s="235"/>
      <c r="V14" s="226"/>
      <c r="W14" s="218"/>
      <c r="X14" s="224"/>
      <c r="Y14" s="218"/>
      <c r="Z14" s="222"/>
      <c r="AA14" s="235"/>
      <c r="AB14" s="236"/>
      <c r="AC14" s="226"/>
      <c r="AD14" s="223"/>
      <c r="AE14" s="235"/>
      <c r="AF14" s="237"/>
      <c r="AG14" s="238"/>
      <c r="AH14" s="239"/>
      <c r="AI14" s="239"/>
      <c r="AJ14" s="239"/>
      <c r="AK14" s="150"/>
    </row>
    <row r="15" spans="2:38" x14ac:dyDescent="0.2">
      <c r="B15" s="214" t="s">
        <v>103</v>
      </c>
      <c r="C15" s="214" t="s">
        <v>108</v>
      </c>
      <c r="D15" s="215" t="s">
        <v>109</v>
      </c>
      <c r="E15" s="216" t="s">
        <v>527</v>
      </c>
      <c r="F15" s="233"/>
      <c r="G15" s="218"/>
      <c r="H15" s="220"/>
      <c r="I15" s="220"/>
      <c r="J15" s="220"/>
      <c r="K15" s="222"/>
      <c r="L15" s="221"/>
      <c r="M15" s="221"/>
      <c r="N15" s="222"/>
      <c r="O15" s="221"/>
      <c r="P15" s="223"/>
      <c r="Q15" s="221"/>
      <c r="R15" s="234"/>
      <c r="S15" s="235"/>
      <c r="T15" s="235"/>
      <c r="U15" s="235"/>
      <c r="V15" s="235"/>
      <c r="W15" s="220"/>
      <c r="X15" s="221"/>
      <c r="Y15" s="218"/>
      <c r="Z15" s="222"/>
      <c r="AA15" s="235"/>
      <c r="AB15" s="236"/>
      <c r="AC15" s="226"/>
      <c r="AD15" s="223"/>
      <c r="AE15" s="235"/>
      <c r="AF15" s="237"/>
      <c r="AG15" s="238"/>
      <c r="AH15" s="239"/>
      <c r="AI15" s="239"/>
      <c r="AJ15" s="239"/>
      <c r="AK15" s="150"/>
      <c r="AL15" s="167" t="s">
        <v>6</v>
      </c>
    </row>
    <row r="16" spans="2:38" x14ac:dyDescent="0.2">
      <c r="B16" s="214" t="s">
        <v>103</v>
      </c>
      <c r="C16" s="214" t="s">
        <v>111</v>
      </c>
      <c r="D16" s="232" t="s">
        <v>112</v>
      </c>
      <c r="E16" s="216" t="s">
        <v>113</v>
      </c>
      <c r="F16" s="233"/>
      <c r="G16" s="218"/>
      <c r="H16" s="220"/>
      <c r="I16" s="220"/>
      <c r="J16" s="220"/>
      <c r="K16" s="222"/>
      <c r="L16" s="221"/>
      <c r="M16" s="221"/>
      <c r="N16" s="222"/>
      <c r="O16" s="221"/>
      <c r="P16" s="223"/>
      <c r="Q16" s="221"/>
      <c r="R16" s="234"/>
      <c r="S16" s="235"/>
      <c r="T16" s="235"/>
      <c r="U16" s="235"/>
      <c r="V16" s="235"/>
      <c r="W16" s="220"/>
      <c r="X16" s="221"/>
      <c r="Y16" s="220"/>
      <c r="Z16" s="222"/>
      <c r="AA16" s="235"/>
      <c r="AB16" s="236"/>
      <c r="AC16" s="226"/>
      <c r="AD16" s="228"/>
      <c r="AE16" s="226"/>
      <c r="AF16" s="237"/>
      <c r="AG16" s="238"/>
      <c r="AH16" s="239"/>
      <c r="AI16" s="239"/>
      <c r="AJ16" s="239"/>
      <c r="AK16" s="150"/>
    </row>
    <row r="17" spans="2:37" x14ac:dyDescent="0.2">
      <c r="B17" s="214" t="s">
        <v>115</v>
      </c>
      <c r="C17" s="214" t="s">
        <v>116</v>
      </c>
      <c r="D17" s="232" t="s">
        <v>117</v>
      </c>
      <c r="E17" s="216" t="s">
        <v>83</v>
      </c>
      <c r="F17" s="217"/>
      <c r="G17" s="218"/>
      <c r="H17" s="220"/>
      <c r="I17" s="220"/>
      <c r="J17" s="220"/>
      <c r="K17" s="222"/>
      <c r="L17" s="224"/>
      <c r="M17" s="221"/>
      <c r="N17" s="222"/>
      <c r="O17" s="221"/>
      <c r="P17" s="223"/>
      <c r="Q17" s="221"/>
      <c r="R17" s="234"/>
      <c r="S17" s="235"/>
      <c r="T17" s="235"/>
      <c r="U17" s="235"/>
      <c r="V17" s="235"/>
      <c r="W17" s="220"/>
      <c r="X17" s="221"/>
      <c r="Y17" s="220"/>
      <c r="Z17" s="222"/>
      <c r="AA17" s="235"/>
      <c r="AB17" s="236"/>
      <c r="AC17" s="226"/>
      <c r="AD17" s="228"/>
      <c r="AE17" s="226"/>
      <c r="AF17" s="237"/>
      <c r="AG17" s="238"/>
      <c r="AH17" s="239"/>
      <c r="AI17" s="239"/>
      <c r="AJ17" s="239"/>
      <c r="AK17" s="150"/>
    </row>
    <row r="18" spans="2:37" x14ac:dyDescent="0.2">
      <c r="B18" s="214" t="s">
        <v>115</v>
      </c>
      <c r="C18" s="214" t="s">
        <v>119</v>
      </c>
      <c r="D18" s="232" t="s">
        <v>120</v>
      </c>
      <c r="E18" s="216" t="s">
        <v>83</v>
      </c>
      <c r="F18" s="233"/>
      <c r="G18" s="218"/>
      <c r="H18" s="220"/>
      <c r="I18" s="220"/>
      <c r="J18" s="220"/>
      <c r="K18" s="222"/>
      <c r="L18" s="221"/>
      <c r="M18" s="221"/>
      <c r="N18" s="222"/>
      <c r="O18" s="221"/>
      <c r="P18" s="223"/>
      <c r="Q18" s="221"/>
      <c r="R18" s="234"/>
      <c r="S18" s="235"/>
      <c r="T18" s="235"/>
      <c r="U18" s="235"/>
      <c r="V18" s="235"/>
      <c r="W18" s="220"/>
      <c r="X18" s="221"/>
      <c r="Y18" s="220"/>
      <c r="Z18" s="222"/>
      <c r="AA18" s="235"/>
      <c r="AB18" s="236"/>
      <c r="AC18" s="226"/>
      <c r="AD18" s="223"/>
      <c r="AE18" s="235"/>
      <c r="AF18" s="237"/>
      <c r="AG18" s="238"/>
      <c r="AH18" s="239"/>
      <c r="AI18" s="239"/>
      <c r="AJ18" s="239"/>
      <c r="AK18" s="150"/>
    </row>
    <row r="19" spans="2:37" x14ac:dyDescent="0.2">
      <c r="B19" s="214" t="s">
        <v>115</v>
      </c>
      <c r="C19" s="214" t="s">
        <v>122</v>
      </c>
      <c r="D19" s="215" t="s">
        <v>123</v>
      </c>
      <c r="E19" s="216" t="s">
        <v>83</v>
      </c>
      <c r="F19" s="217"/>
      <c r="G19" s="220"/>
      <c r="H19" s="220"/>
      <c r="I19" s="220"/>
      <c r="J19" s="220"/>
      <c r="K19" s="222"/>
      <c r="L19" s="221"/>
      <c r="M19" s="221"/>
      <c r="N19" s="222"/>
      <c r="O19" s="221"/>
      <c r="P19" s="223"/>
      <c r="Q19" s="221"/>
      <c r="R19" s="234"/>
      <c r="S19" s="235"/>
      <c r="T19" s="235"/>
      <c r="U19" s="235"/>
      <c r="V19" s="235"/>
      <c r="W19" s="220"/>
      <c r="X19" s="221"/>
      <c r="Y19" s="220"/>
      <c r="Z19" s="222"/>
      <c r="AA19" s="235"/>
      <c r="AB19" s="236"/>
      <c r="AC19" s="226"/>
      <c r="AD19" s="223"/>
      <c r="AE19" s="235"/>
      <c r="AF19" s="237"/>
      <c r="AG19" s="238"/>
      <c r="AH19" s="239"/>
      <c r="AI19" s="239"/>
      <c r="AJ19" s="239"/>
      <c r="AK19" s="150"/>
    </row>
    <row r="20" spans="2:37" x14ac:dyDescent="0.2">
      <c r="B20" s="214" t="s">
        <v>115</v>
      </c>
      <c r="C20" s="214" t="s">
        <v>124</v>
      </c>
      <c r="D20" s="232" t="s">
        <v>125</v>
      </c>
      <c r="E20" s="216" t="s">
        <v>66</v>
      </c>
      <c r="F20" s="217"/>
      <c r="G20" s="218"/>
      <c r="H20" s="220"/>
      <c r="I20" s="220"/>
      <c r="J20" s="220"/>
      <c r="K20" s="222"/>
      <c r="L20" s="221"/>
      <c r="M20" s="221"/>
      <c r="N20" s="222"/>
      <c r="O20" s="221"/>
      <c r="P20" s="223"/>
      <c r="Q20" s="221"/>
      <c r="R20" s="234"/>
      <c r="S20" s="235"/>
      <c r="T20" s="235"/>
      <c r="U20" s="235"/>
      <c r="V20" s="235"/>
      <c r="W20" s="220"/>
      <c r="X20" s="221"/>
      <c r="Y20" s="220"/>
      <c r="Z20" s="222"/>
      <c r="AA20" s="235"/>
      <c r="AB20" s="236"/>
      <c r="AC20" s="226"/>
      <c r="AD20" s="223"/>
      <c r="AE20" s="235"/>
      <c r="AF20" s="237"/>
      <c r="AG20" s="238"/>
      <c r="AH20" s="239"/>
      <c r="AI20" s="239"/>
      <c r="AJ20" s="239"/>
      <c r="AK20" s="150"/>
    </row>
    <row r="21" spans="2:37" x14ac:dyDescent="0.2">
      <c r="B21" s="214" t="s">
        <v>115</v>
      </c>
      <c r="C21" s="214" t="s">
        <v>127</v>
      </c>
      <c r="D21" s="232" t="s">
        <v>128</v>
      </c>
      <c r="E21" s="216" t="s">
        <v>527</v>
      </c>
      <c r="F21" s="233"/>
      <c r="G21" s="218"/>
      <c r="H21" s="220"/>
      <c r="I21" s="220"/>
      <c r="J21" s="220"/>
      <c r="K21" s="222"/>
      <c r="L21" s="221"/>
      <c r="M21" s="221"/>
      <c r="N21" s="222"/>
      <c r="O21" s="221"/>
      <c r="P21" s="223"/>
      <c r="Q21" s="221"/>
      <c r="R21" s="234"/>
      <c r="S21" s="235"/>
      <c r="T21" s="235"/>
      <c r="U21" s="235"/>
      <c r="V21" s="235"/>
      <c r="W21" s="220"/>
      <c r="X21" s="221" t="s">
        <v>1019</v>
      </c>
      <c r="Y21" s="220"/>
      <c r="Z21" s="222"/>
      <c r="AA21" s="235"/>
      <c r="AB21" s="236"/>
      <c r="AC21" s="226"/>
      <c r="AD21" s="228"/>
      <c r="AE21" s="226"/>
      <c r="AF21" s="237"/>
      <c r="AG21" s="238"/>
      <c r="AH21" s="239"/>
      <c r="AI21" s="239"/>
      <c r="AJ21" s="239"/>
      <c r="AK21" s="150"/>
    </row>
    <row r="22" spans="2:37" x14ac:dyDescent="0.2">
      <c r="B22" s="214" t="s">
        <v>115</v>
      </c>
      <c r="C22" s="214" t="s">
        <v>127</v>
      </c>
      <c r="D22" s="232" t="s">
        <v>129</v>
      </c>
      <c r="E22" s="216" t="s">
        <v>83</v>
      </c>
      <c r="F22" s="233"/>
      <c r="G22" s="218"/>
      <c r="H22" s="220"/>
      <c r="I22" s="220"/>
      <c r="J22" s="220"/>
      <c r="K22" s="222"/>
      <c r="L22" s="221"/>
      <c r="M22" s="221"/>
      <c r="N22" s="222"/>
      <c r="O22" s="221"/>
      <c r="P22" s="223"/>
      <c r="Q22" s="221"/>
      <c r="R22" s="234"/>
      <c r="S22" s="235"/>
      <c r="T22" s="235"/>
      <c r="U22" s="235"/>
      <c r="V22" s="235"/>
      <c r="W22" s="220"/>
      <c r="X22" s="221"/>
      <c r="Y22" s="220"/>
      <c r="Z22" s="222"/>
      <c r="AA22" s="235"/>
      <c r="AB22" s="236"/>
      <c r="AC22" s="226"/>
      <c r="AD22" s="223"/>
      <c r="AE22" s="235"/>
      <c r="AF22" s="237"/>
      <c r="AG22" s="238"/>
      <c r="AH22" s="239"/>
      <c r="AI22" s="239"/>
      <c r="AJ22" s="239"/>
      <c r="AK22" s="150"/>
    </row>
    <row r="23" spans="2:37" x14ac:dyDescent="0.2">
      <c r="B23" s="214" t="s">
        <v>115</v>
      </c>
      <c r="C23" s="214" t="s">
        <v>127</v>
      </c>
      <c r="D23" s="232" t="s">
        <v>131</v>
      </c>
      <c r="E23" s="216" t="s">
        <v>83</v>
      </c>
      <c r="F23" s="233"/>
      <c r="G23" s="218"/>
      <c r="H23" s="220"/>
      <c r="I23" s="220"/>
      <c r="J23" s="220"/>
      <c r="K23" s="222"/>
      <c r="L23" s="221"/>
      <c r="M23" s="221"/>
      <c r="N23" s="222"/>
      <c r="O23" s="221"/>
      <c r="P23" s="223"/>
      <c r="Q23" s="221"/>
      <c r="R23" s="234"/>
      <c r="S23" s="235"/>
      <c r="T23" s="235"/>
      <c r="U23" s="235"/>
      <c r="V23" s="235"/>
      <c r="W23" s="220"/>
      <c r="X23" s="221"/>
      <c r="Y23" s="220"/>
      <c r="Z23" s="222"/>
      <c r="AA23" s="235"/>
      <c r="AB23" s="236"/>
      <c r="AC23" s="226"/>
      <c r="AD23" s="223"/>
      <c r="AE23" s="235"/>
      <c r="AF23" s="237"/>
      <c r="AG23" s="238"/>
      <c r="AH23" s="239"/>
      <c r="AI23" s="239"/>
      <c r="AJ23" s="239"/>
      <c r="AK23" s="150"/>
    </row>
    <row r="24" spans="2:37" x14ac:dyDescent="0.2">
      <c r="B24" s="214" t="s">
        <v>132</v>
      </c>
      <c r="C24" s="214" t="s">
        <v>133</v>
      </c>
      <c r="D24" s="215" t="s">
        <v>134</v>
      </c>
      <c r="E24" s="216" t="s">
        <v>135</v>
      </c>
      <c r="F24" s="217"/>
      <c r="G24" s="218"/>
      <c r="H24" s="220"/>
      <c r="I24" s="220"/>
      <c r="J24" s="220"/>
      <c r="K24" s="222"/>
      <c r="L24" s="221"/>
      <c r="M24" s="221"/>
      <c r="N24" s="222"/>
      <c r="O24" s="221"/>
      <c r="P24" s="223"/>
      <c r="Q24" s="221"/>
      <c r="R24" s="234"/>
      <c r="S24" s="235"/>
      <c r="T24" s="235"/>
      <c r="U24" s="235"/>
      <c r="V24" s="235"/>
      <c r="W24" s="220"/>
      <c r="X24" s="221"/>
      <c r="Y24" s="220"/>
      <c r="Z24" s="222"/>
      <c r="AA24" s="235"/>
      <c r="AB24" s="236"/>
      <c r="AC24" s="226"/>
      <c r="AD24" s="223"/>
      <c r="AE24" s="235"/>
      <c r="AF24" s="237"/>
      <c r="AG24" s="238"/>
      <c r="AH24" s="239"/>
      <c r="AI24" s="239"/>
      <c r="AJ24" s="239"/>
      <c r="AK24" s="150"/>
    </row>
    <row r="25" spans="2:37" x14ac:dyDescent="0.2">
      <c r="B25" s="214" t="s">
        <v>132</v>
      </c>
      <c r="C25" s="214" t="s">
        <v>133</v>
      </c>
      <c r="D25" s="215" t="s">
        <v>137</v>
      </c>
      <c r="E25" s="216" t="s">
        <v>138</v>
      </c>
      <c r="F25" s="217"/>
      <c r="G25" s="218"/>
      <c r="H25" s="218"/>
      <c r="I25" s="219"/>
      <c r="J25" s="218"/>
      <c r="K25" s="219"/>
      <c r="L25" s="224"/>
      <c r="M25" s="221"/>
      <c r="N25" s="222"/>
      <c r="O25" s="221"/>
      <c r="P25" s="223"/>
      <c r="Q25" s="221"/>
      <c r="R25" s="225"/>
      <c r="S25" s="226"/>
      <c r="T25" s="226"/>
      <c r="U25" s="226"/>
      <c r="V25" s="226"/>
      <c r="W25" s="220"/>
      <c r="X25" s="224"/>
      <c r="Y25" s="220"/>
      <c r="Z25" s="219"/>
      <c r="AA25" s="226"/>
      <c r="AB25" s="227"/>
      <c r="AC25" s="226"/>
      <c r="AD25" s="228"/>
      <c r="AE25" s="226"/>
      <c r="AF25" s="229"/>
      <c r="AG25" s="230"/>
      <c r="AH25" s="231"/>
      <c r="AI25" s="231"/>
      <c r="AJ25" s="231"/>
      <c r="AK25" s="150"/>
    </row>
    <row r="26" spans="2:37" x14ac:dyDescent="0.2">
      <c r="B26" s="214" t="s">
        <v>132</v>
      </c>
      <c r="C26" s="214" t="s">
        <v>133</v>
      </c>
      <c r="D26" s="215" t="s">
        <v>140</v>
      </c>
      <c r="E26" s="216" t="s">
        <v>135</v>
      </c>
      <c r="F26" s="217"/>
      <c r="G26" s="218"/>
      <c r="H26" s="218"/>
      <c r="I26" s="220"/>
      <c r="J26" s="220"/>
      <c r="K26" s="219"/>
      <c r="L26" s="224"/>
      <c r="M26" s="224"/>
      <c r="N26" s="219"/>
      <c r="O26" s="224"/>
      <c r="P26" s="228"/>
      <c r="Q26" s="224"/>
      <c r="R26" s="225"/>
      <c r="S26" s="226"/>
      <c r="T26" s="226"/>
      <c r="U26" s="235"/>
      <c r="V26" s="226"/>
      <c r="W26" s="220"/>
      <c r="X26" s="224"/>
      <c r="Y26" s="220"/>
      <c r="Z26" s="219"/>
      <c r="AA26" s="226"/>
      <c r="AB26" s="227"/>
      <c r="AC26" s="226"/>
      <c r="AD26" s="228"/>
      <c r="AE26" s="226"/>
      <c r="AF26" s="229"/>
      <c r="AG26" s="230"/>
      <c r="AH26" s="231"/>
      <c r="AI26" s="231"/>
      <c r="AJ26" s="231"/>
      <c r="AK26" s="150"/>
    </row>
    <row r="27" spans="2:37" x14ac:dyDescent="0.2">
      <c r="B27" s="214" t="s">
        <v>132</v>
      </c>
      <c r="C27" s="214" t="s">
        <v>133</v>
      </c>
      <c r="D27" s="215" t="s">
        <v>141</v>
      </c>
      <c r="E27" s="216" t="s">
        <v>135</v>
      </c>
      <c r="F27" s="217"/>
      <c r="G27" s="218"/>
      <c r="H27" s="218"/>
      <c r="I27" s="220"/>
      <c r="J27" s="220"/>
      <c r="K27" s="219"/>
      <c r="L27" s="221"/>
      <c r="M27" s="221"/>
      <c r="N27" s="222"/>
      <c r="O27" s="221"/>
      <c r="P27" s="223"/>
      <c r="Q27" s="221"/>
      <c r="R27" s="225"/>
      <c r="S27" s="226"/>
      <c r="T27" s="226"/>
      <c r="U27" s="226"/>
      <c r="V27" s="226"/>
      <c r="W27" s="218"/>
      <c r="X27" s="224"/>
      <c r="Y27" s="218"/>
      <c r="Z27" s="219"/>
      <c r="AA27" s="226"/>
      <c r="AB27" s="227"/>
      <c r="AC27" s="226"/>
      <c r="AD27" s="228"/>
      <c r="AE27" s="226"/>
      <c r="AF27" s="229"/>
      <c r="AG27" s="230"/>
      <c r="AH27" s="231"/>
      <c r="AI27" s="231"/>
      <c r="AJ27" s="231"/>
      <c r="AK27" s="150"/>
    </row>
    <row r="28" spans="2:37" x14ac:dyDescent="0.2">
      <c r="B28" s="214" t="s">
        <v>132</v>
      </c>
      <c r="C28" s="214" t="s">
        <v>133</v>
      </c>
      <c r="D28" s="215" t="s">
        <v>142</v>
      </c>
      <c r="E28" s="216" t="s">
        <v>135</v>
      </c>
      <c r="F28" s="217"/>
      <c r="G28" s="218"/>
      <c r="H28" s="218"/>
      <c r="I28" s="220"/>
      <c r="J28" s="220"/>
      <c r="K28" s="219"/>
      <c r="L28" s="221"/>
      <c r="M28" s="221"/>
      <c r="N28" s="222"/>
      <c r="O28" s="221"/>
      <c r="P28" s="223"/>
      <c r="Q28" s="224"/>
      <c r="R28" s="225"/>
      <c r="S28" s="226"/>
      <c r="T28" s="226"/>
      <c r="U28" s="226"/>
      <c r="V28" s="226"/>
      <c r="W28" s="220"/>
      <c r="X28" s="224"/>
      <c r="Y28" s="220"/>
      <c r="Z28" s="219"/>
      <c r="AA28" s="226"/>
      <c r="AB28" s="227"/>
      <c r="AC28" s="226"/>
      <c r="AD28" s="228"/>
      <c r="AE28" s="226"/>
      <c r="AF28" s="229"/>
      <c r="AG28" s="230"/>
      <c r="AH28" s="231"/>
      <c r="AI28" s="231"/>
      <c r="AJ28" s="231"/>
      <c r="AK28" s="150"/>
    </row>
    <row r="29" spans="2:37" ht="17.25" customHeight="1" x14ac:dyDescent="0.2">
      <c r="B29" s="214" t="s">
        <v>132</v>
      </c>
      <c r="C29" s="214" t="s">
        <v>133</v>
      </c>
      <c r="D29" s="215" t="s">
        <v>143</v>
      </c>
      <c r="E29" s="216" t="s">
        <v>529</v>
      </c>
      <c r="F29" s="217"/>
      <c r="G29" s="218"/>
      <c r="H29" s="218"/>
      <c r="I29" s="220"/>
      <c r="J29" s="220"/>
      <c r="K29" s="219"/>
      <c r="L29" s="224"/>
      <c r="M29" s="224"/>
      <c r="N29" s="219"/>
      <c r="O29" s="224"/>
      <c r="P29" s="223"/>
      <c r="Q29" s="224"/>
      <c r="R29" s="225"/>
      <c r="S29" s="226"/>
      <c r="T29" s="226"/>
      <c r="U29" s="226"/>
      <c r="V29" s="226"/>
      <c r="W29" s="220"/>
      <c r="X29" s="224"/>
      <c r="Y29" s="220"/>
      <c r="Z29" s="219"/>
      <c r="AA29" s="226"/>
      <c r="AB29" s="227"/>
      <c r="AC29" s="226"/>
      <c r="AD29" s="228"/>
      <c r="AE29" s="226"/>
      <c r="AF29" s="229"/>
      <c r="AG29" s="230"/>
      <c r="AH29" s="231"/>
      <c r="AI29" s="231"/>
      <c r="AJ29" s="231"/>
      <c r="AK29" s="150"/>
    </row>
    <row r="30" spans="2:37" x14ac:dyDescent="0.2">
      <c r="B30" s="214" t="s">
        <v>132</v>
      </c>
      <c r="C30" s="214" t="s">
        <v>133</v>
      </c>
      <c r="D30" s="215" t="s">
        <v>145</v>
      </c>
      <c r="E30" s="216" t="s">
        <v>91</v>
      </c>
      <c r="F30" s="217"/>
      <c r="G30" s="218"/>
      <c r="H30" s="218"/>
      <c r="I30" s="220"/>
      <c r="J30" s="218"/>
      <c r="K30" s="219"/>
      <c r="L30" s="221"/>
      <c r="M30" s="221"/>
      <c r="N30" s="222"/>
      <c r="O30" s="221"/>
      <c r="P30" s="223"/>
      <c r="Q30" s="224"/>
      <c r="R30" s="225"/>
      <c r="S30" s="226"/>
      <c r="T30" s="226"/>
      <c r="U30" s="226"/>
      <c r="V30" s="226"/>
      <c r="W30" s="220"/>
      <c r="X30" s="224"/>
      <c r="Y30" s="220"/>
      <c r="Z30" s="219"/>
      <c r="AA30" s="226"/>
      <c r="AB30" s="227"/>
      <c r="AC30" s="226"/>
      <c r="AD30" s="228"/>
      <c r="AE30" s="226"/>
      <c r="AF30" s="229"/>
      <c r="AG30" s="230"/>
      <c r="AH30" s="231"/>
      <c r="AI30" s="231"/>
      <c r="AJ30" s="231"/>
      <c r="AK30" s="150"/>
    </row>
    <row r="31" spans="2:37" x14ac:dyDescent="0.2">
      <c r="B31" s="214" t="s">
        <v>132</v>
      </c>
      <c r="C31" s="214" t="s">
        <v>146</v>
      </c>
      <c r="D31" s="232" t="s">
        <v>147</v>
      </c>
      <c r="E31" s="216" t="s">
        <v>148</v>
      </c>
      <c r="F31" s="233"/>
      <c r="G31" s="218"/>
      <c r="H31" s="220"/>
      <c r="I31" s="220"/>
      <c r="J31" s="220"/>
      <c r="K31" s="222"/>
      <c r="L31" s="221"/>
      <c r="M31" s="221"/>
      <c r="N31" s="222"/>
      <c r="O31" s="221"/>
      <c r="P31" s="223"/>
      <c r="Q31" s="221"/>
      <c r="R31" s="225"/>
      <c r="S31" s="235"/>
      <c r="T31" s="235"/>
      <c r="U31" s="235"/>
      <c r="V31" s="235"/>
      <c r="W31" s="220"/>
      <c r="X31" s="221"/>
      <c r="Y31" s="220"/>
      <c r="Z31" s="222"/>
      <c r="AA31" s="235"/>
      <c r="AB31" s="227"/>
      <c r="AC31" s="226"/>
      <c r="AD31" s="223"/>
      <c r="AE31" s="235"/>
      <c r="AF31" s="237"/>
      <c r="AG31" s="238"/>
      <c r="AH31" s="239"/>
      <c r="AI31" s="239"/>
      <c r="AJ31" s="239"/>
      <c r="AK31" s="150"/>
    </row>
    <row r="32" spans="2:37" x14ac:dyDescent="0.2">
      <c r="B32" s="214" t="s">
        <v>132</v>
      </c>
      <c r="C32" s="214" t="s">
        <v>150</v>
      </c>
      <c r="D32" s="215" t="s">
        <v>151</v>
      </c>
      <c r="E32" s="216" t="s">
        <v>527</v>
      </c>
      <c r="F32" s="217"/>
      <c r="G32" s="218"/>
      <c r="H32" s="218"/>
      <c r="I32" s="220"/>
      <c r="J32" s="218"/>
      <c r="K32" s="219"/>
      <c r="L32" s="221"/>
      <c r="M32" s="221"/>
      <c r="N32" s="222"/>
      <c r="O32" s="221"/>
      <c r="P32" s="223"/>
      <c r="Q32" s="241"/>
      <c r="R32" s="225"/>
      <c r="S32" s="226"/>
      <c r="T32" s="226"/>
      <c r="U32" s="235"/>
      <c r="V32" s="226"/>
      <c r="W32" s="218"/>
      <c r="X32" s="224"/>
      <c r="Y32" s="218"/>
      <c r="Z32" s="219"/>
      <c r="AA32" s="226"/>
      <c r="AB32" s="227"/>
      <c r="AC32" s="226"/>
      <c r="AD32" s="228"/>
      <c r="AE32" s="226"/>
      <c r="AF32" s="229"/>
      <c r="AG32" s="230"/>
      <c r="AH32" s="231"/>
      <c r="AI32" s="231"/>
      <c r="AJ32" s="231"/>
      <c r="AK32" s="150"/>
    </row>
    <row r="33" spans="2:37" x14ac:dyDescent="0.2">
      <c r="B33" s="214" t="s">
        <v>153</v>
      </c>
      <c r="C33" s="214" t="s">
        <v>154</v>
      </c>
      <c r="D33" s="215" t="s">
        <v>155</v>
      </c>
      <c r="E33" s="216" t="s">
        <v>527</v>
      </c>
      <c r="F33" s="217"/>
      <c r="G33" s="218"/>
      <c r="H33" s="218"/>
      <c r="I33" s="219"/>
      <c r="J33" s="218"/>
      <c r="K33" s="219"/>
      <c r="L33" s="221"/>
      <c r="M33" s="221"/>
      <c r="N33" s="222"/>
      <c r="O33" s="221"/>
      <c r="P33" s="223"/>
      <c r="Q33" s="224"/>
      <c r="R33" s="225"/>
      <c r="S33" s="226"/>
      <c r="T33" s="226"/>
      <c r="U33" s="226"/>
      <c r="V33" s="226"/>
      <c r="W33" s="218"/>
      <c r="X33" s="224"/>
      <c r="Y33" s="218"/>
      <c r="Z33" s="219"/>
      <c r="AA33" s="226"/>
      <c r="AB33" s="227"/>
      <c r="AC33" s="226"/>
      <c r="AD33" s="228"/>
      <c r="AE33" s="226"/>
      <c r="AF33" s="229"/>
      <c r="AG33" s="230"/>
      <c r="AH33" s="231"/>
      <c r="AI33" s="231"/>
      <c r="AJ33" s="231"/>
      <c r="AK33" s="150"/>
    </row>
    <row r="34" spans="2:37" x14ac:dyDescent="0.2">
      <c r="B34" s="214" t="s">
        <v>153</v>
      </c>
      <c r="C34" s="214" t="s">
        <v>154</v>
      </c>
      <c r="D34" s="215" t="s">
        <v>157</v>
      </c>
      <c r="E34" s="216" t="s">
        <v>527</v>
      </c>
      <c r="F34" s="217"/>
      <c r="G34" s="218"/>
      <c r="H34" s="218"/>
      <c r="I34" s="219"/>
      <c r="J34" s="218"/>
      <c r="K34" s="219"/>
      <c r="L34" s="221"/>
      <c r="M34" s="221"/>
      <c r="N34" s="222"/>
      <c r="O34" s="221"/>
      <c r="P34" s="228"/>
      <c r="Q34" s="224"/>
      <c r="R34" s="225"/>
      <c r="S34" s="235"/>
      <c r="T34" s="235"/>
      <c r="U34" s="235"/>
      <c r="V34" s="226"/>
      <c r="W34" s="218"/>
      <c r="X34" s="224"/>
      <c r="Y34" s="218"/>
      <c r="Z34" s="222"/>
      <c r="AA34" s="235"/>
      <c r="AB34" s="227"/>
      <c r="AC34" s="226"/>
      <c r="AD34" s="228"/>
      <c r="AE34" s="226"/>
      <c r="AF34" s="229"/>
      <c r="AG34" s="230"/>
      <c r="AH34" s="231"/>
      <c r="AI34" s="231"/>
      <c r="AJ34" s="231"/>
      <c r="AK34" s="150"/>
    </row>
    <row r="35" spans="2:37" x14ac:dyDescent="0.2">
      <c r="B35" s="214" t="s">
        <v>153</v>
      </c>
      <c r="C35" s="214" t="s">
        <v>154</v>
      </c>
      <c r="D35" s="232" t="s">
        <v>158</v>
      </c>
      <c r="E35" s="216" t="s">
        <v>66</v>
      </c>
      <c r="F35" s="217"/>
      <c r="G35" s="218"/>
      <c r="H35" s="220"/>
      <c r="I35" s="220"/>
      <c r="J35" s="220"/>
      <c r="K35" s="222"/>
      <c r="L35" s="221"/>
      <c r="M35" s="221"/>
      <c r="N35" s="222"/>
      <c r="O35" s="221"/>
      <c r="P35" s="223"/>
      <c r="Q35" s="221"/>
      <c r="R35" s="234"/>
      <c r="S35" s="235"/>
      <c r="T35" s="235"/>
      <c r="U35" s="235"/>
      <c r="V35" s="235"/>
      <c r="W35" s="220"/>
      <c r="X35" s="221"/>
      <c r="Y35" s="220"/>
      <c r="Z35" s="222"/>
      <c r="AA35" s="235"/>
      <c r="AB35" s="236"/>
      <c r="AC35" s="226"/>
      <c r="AD35" s="223"/>
      <c r="AE35" s="235"/>
      <c r="AF35" s="237"/>
      <c r="AG35" s="238"/>
      <c r="AH35" s="239"/>
      <c r="AI35" s="239"/>
      <c r="AJ35" s="239"/>
      <c r="AK35" s="150"/>
    </row>
    <row r="36" spans="2:37" x14ac:dyDescent="0.2">
      <c r="B36" s="214" t="s">
        <v>153</v>
      </c>
      <c r="C36" s="214" t="s">
        <v>159</v>
      </c>
      <c r="D36" s="215" t="s">
        <v>160</v>
      </c>
      <c r="E36" s="216" t="s">
        <v>527</v>
      </c>
      <c r="F36" s="217"/>
      <c r="G36" s="218"/>
      <c r="H36" s="218"/>
      <c r="I36" s="219"/>
      <c r="J36" s="218"/>
      <c r="K36" s="219"/>
      <c r="L36" s="221"/>
      <c r="M36" s="221"/>
      <c r="N36" s="222"/>
      <c r="O36" s="221"/>
      <c r="P36" s="223"/>
      <c r="Q36" s="221"/>
      <c r="R36" s="225"/>
      <c r="S36" s="226"/>
      <c r="T36" s="226"/>
      <c r="U36" s="226"/>
      <c r="V36" s="226"/>
      <c r="W36" s="218"/>
      <c r="X36" s="224"/>
      <c r="Y36" s="218"/>
      <c r="Z36" s="219"/>
      <c r="AA36" s="226"/>
      <c r="AB36" s="227"/>
      <c r="AC36" s="226"/>
      <c r="AD36" s="228"/>
      <c r="AE36" s="226"/>
      <c r="AF36" s="229"/>
      <c r="AG36" s="230"/>
      <c r="AH36" s="231"/>
      <c r="AI36" s="231"/>
      <c r="AJ36" s="231"/>
      <c r="AK36" s="168"/>
    </row>
    <row r="37" spans="2:37" x14ac:dyDescent="0.2">
      <c r="B37" s="214" t="s">
        <v>153</v>
      </c>
      <c r="C37" s="214" t="s">
        <v>159</v>
      </c>
      <c r="D37" s="232" t="s">
        <v>163</v>
      </c>
      <c r="E37" s="216" t="s">
        <v>527</v>
      </c>
      <c r="F37" s="233"/>
      <c r="G37" s="218"/>
      <c r="H37" s="220"/>
      <c r="I37" s="219"/>
      <c r="J37" s="220"/>
      <c r="K37" s="222"/>
      <c r="L37" s="221"/>
      <c r="M37" s="221"/>
      <c r="N37" s="222"/>
      <c r="O37" s="221"/>
      <c r="P37" s="223"/>
      <c r="Q37" s="221"/>
      <c r="R37" s="234"/>
      <c r="S37" s="235"/>
      <c r="T37" s="235"/>
      <c r="U37" s="235"/>
      <c r="V37" s="235"/>
      <c r="W37" s="220"/>
      <c r="X37" s="221"/>
      <c r="Y37" s="220"/>
      <c r="Z37" s="222"/>
      <c r="AA37" s="235"/>
      <c r="AB37" s="236"/>
      <c r="AC37" s="226"/>
      <c r="AD37" s="223"/>
      <c r="AE37" s="235"/>
      <c r="AF37" s="237"/>
      <c r="AG37" s="238"/>
      <c r="AH37" s="239"/>
      <c r="AI37" s="239"/>
      <c r="AJ37" s="239"/>
      <c r="AK37" s="168"/>
    </row>
    <row r="38" spans="2:37" x14ac:dyDescent="0.2">
      <c r="B38" s="214" t="s">
        <v>0</v>
      </c>
      <c r="C38" s="214" t="s">
        <v>164</v>
      </c>
      <c r="D38" s="232" t="s">
        <v>165</v>
      </c>
      <c r="E38" s="216" t="s">
        <v>527</v>
      </c>
      <c r="F38" s="233"/>
      <c r="G38" s="218"/>
      <c r="H38" s="220"/>
      <c r="I38" s="220"/>
      <c r="J38" s="220"/>
      <c r="K38" s="222"/>
      <c r="L38" s="221"/>
      <c r="M38" s="221"/>
      <c r="N38" s="222"/>
      <c r="O38" s="221"/>
      <c r="P38" s="223"/>
      <c r="Q38" s="221"/>
      <c r="R38" s="234"/>
      <c r="S38" s="235"/>
      <c r="T38" s="235"/>
      <c r="U38" s="235"/>
      <c r="V38" s="235"/>
      <c r="W38" s="220"/>
      <c r="X38" s="221"/>
      <c r="Y38" s="220"/>
      <c r="Z38" s="222"/>
      <c r="AA38" s="235"/>
      <c r="AB38" s="236"/>
      <c r="AC38" s="226"/>
      <c r="AD38" s="223"/>
      <c r="AE38" s="235"/>
      <c r="AF38" s="237"/>
      <c r="AG38" s="238"/>
      <c r="AH38" s="239"/>
      <c r="AI38" s="239"/>
      <c r="AJ38" s="239"/>
      <c r="AK38" s="150"/>
    </row>
    <row r="39" spans="2:37" x14ac:dyDescent="0.2">
      <c r="B39" s="214" t="s">
        <v>153</v>
      </c>
      <c r="C39" s="214" t="s">
        <v>166</v>
      </c>
      <c r="D39" s="215" t="s">
        <v>167</v>
      </c>
      <c r="E39" s="216" t="s">
        <v>527</v>
      </c>
      <c r="F39" s="217"/>
      <c r="G39" s="218"/>
      <c r="H39" s="218"/>
      <c r="I39" s="219"/>
      <c r="J39" s="220"/>
      <c r="K39" s="219"/>
      <c r="L39" s="221"/>
      <c r="M39" s="221"/>
      <c r="N39" s="222"/>
      <c r="O39" s="221"/>
      <c r="P39" s="223"/>
      <c r="Q39" s="221"/>
      <c r="R39" s="234"/>
      <c r="S39" s="235"/>
      <c r="T39" s="235"/>
      <c r="U39" s="235"/>
      <c r="V39" s="235"/>
      <c r="W39" s="220"/>
      <c r="X39" s="221"/>
      <c r="Y39" s="220"/>
      <c r="Z39" s="222"/>
      <c r="AA39" s="235"/>
      <c r="AB39" s="236"/>
      <c r="AC39" s="226"/>
      <c r="AD39" s="228"/>
      <c r="AE39" s="226"/>
      <c r="AF39" s="237"/>
      <c r="AG39" s="238"/>
      <c r="AH39" s="239"/>
      <c r="AI39" s="239"/>
      <c r="AJ39" s="239"/>
      <c r="AK39" s="150"/>
    </row>
    <row r="40" spans="2:37" x14ac:dyDescent="0.2">
      <c r="B40" s="214" t="s">
        <v>153</v>
      </c>
      <c r="C40" s="214" t="s">
        <v>166</v>
      </c>
      <c r="D40" s="232" t="s">
        <v>169</v>
      </c>
      <c r="E40" s="216" t="s">
        <v>527</v>
      </c>
      <c r="F40" s="233"/>
      <c r="G40" s="218"/>
      <c r="H40" s="218"/>
      <c r="I40" s="220"/>
      <c r="J40" s="242"/>
      <c r="K40" s="219"/>
      <c r="L40" s="221"/>
      <c r="M40" s="221"/>
      <c r="N40" s="222"/>
      <c r="O40" s="221"/>
      <c r="P40" s="223"/>
      <c r="Q40" s="221"/>
      <c r="R40" s="224"/>
      <c r="S40" s="226"/>
      <c r="T40" s="226"/>
      <c r="U40" s="226"/>
      <c r="V40" s="226"/>
      <c r="W40" s="220"/>
      <c r="X40" s="228"/>
      <c r="Y40" s="220"/>
      <c r="Z40" s="219"/>
      <c r="AA40" s="226"/>
      <c r="AB40" s="227"/>
      <c r="AC40" s="226"/>
      <c r="AD40" s="228"/>
      <c r="AE40" s="226"/>
      <c r="AF40" s="229"/>
      <c r="AG40" s="230"/>
      <c r="AH40" s="231"/>
      <c r="AI40" s="231"/>
      <c r="AJ40" s="231"/>
      <c r="AK40" s="150"/>
    </row>
    <row r="41" spans="2:37" x14ac:dyDescent="0.2">
      <c r="B41" s="214" t="s">
        <v>153</v>
      </c>
      <c r="C41" s="214" t="s">
        <v>166</v>
      </c>
      <c r="D41" s="215" t="s">
        <v>170</v>
      </c>
      <c r="E41" s="216" t="s">
        <v>83</v>
      </c>
      <c r="F41" s="217"/>
      <c r="G41" s="218"/>
      <c r="H41" s="218"/>
      <c r="I41" s="220"/>
      <c r="J41" s="218"/>
      <c r="K41" s="219"/>
      <c r="L41" s="221"/>
      <c r="M41" s="221"/>
      <c r="N41" s="222"/>
      <c r="O41" s="221"/>
      <c r="P41" s="228"/>
      <c r="Q41" s="224"/>
      <c r="R41" s="225"/>
      <c r="S41" s="235"/>
      <c r="T41" s="226"/>
      <c r="U41" s="226"/>
      <c r="V41" s="226"/>
      <c r="W41" s="220"/>
      <c r="X41" s="224"/>
      <c r="Y41" s="220"/>
      <c r="Z41" s="222"/>
      <c r="AA41" s="235"/>
      <c r="AB41" s="227"/>
      <c r="AC41" s="226"/>
      <c r="AD41" s="228"/>
      <c r="AE41" s="226"/>
      <c r="AF41" s="229"/>
      <c r="AG41" s="230"/>
      <c r="AH41" s="231"/>
      <c r="AI41" s="231"/>
      <c r="AJ41" s="231"/>
      <c r="AK41" s="150"/>
    </row>
    <row r="42" spans="2:37" ht="17.25" customHeight="1" x14ac:dyDescent="0.2">
      <c r="B42" s="214" t="s">
        <v>153</v>
      </c>
      <c r="C42" s="214" t="s">
        <v>171</v>
      </c>
      <c r="D42" s="243" t="s">
        <v>172</v>
      </c>
      <c r="E42" s="216" t="s">
        <v>527</v>
      </c>
      <c r="F42" s="233"/>
      <c r="G42" s="218"/>
      <c r="H42" s="218"/>
      <c r="I42" s="219"/>
      <c r="J42" s="220"/>
      <c r="K42" s="219"/>
      <c r="L42" s="221"/>
      <c r="M42" s="221"/>
      <c r="N42" s="222"/>
      <c r="O42" s="224"/>
      <c r="P42" s="223"/>
      <c r="Q42" s="224"/>
      <c r="R42" s="225"/>
      <c r="S42" s="226"/>
      <c r="T42" s="226"/>
      <c r="U42" s="235"/>
      <c r="V42" s="226"/>
      <c r="W42" s="220"/>
      <c r="X42" s="224"/>
      <c r="Y42" s="220"/>
      <c r="Z42" s="219"/>
      <c r="AA42" s="226"/>
      <c r="AB42" s="227"/>
      <c r="AC42" s="226"/>
      <c r="AD42" s="228"/>
      <c r="AE42" s="226"/>
      <c r="AF42" s="237"/>
      <c r="AG42" s="238"/>
      <c r="AH42" s="239"/>
      <c r="AI42" s="239"/>
      <c r="AJ42" s="239"/>
      <c r="AK42" s="150"/>
    </row>
    <row r="43" spans="2:37" x14ac:dyDescent="0.2">
      <c r="B43" s="214" t="s">
        <v>153</v>
      </c>
      <c r="C43" s="214" t="s">
        <v>171</v>
      </c>
      <c r="D43" s="215" t="s">
        <v>174</v>
      </c>
      <c r="E43" s="216" t="s">
        <v>83</v>
      </c>
      <c r="F43" s="217"/>
      <c r="G43" s="220"/>
      <c r="H43" s="220"/>
      <c r="I43" s="220"/>
      <c r="J43" s="220"/>
      <c r="K43" s="222"/>
      <c r="L43" s="221"/>
      <c r="M43" s="221"/>
      <c r="N43" s="222"/>
      <c r="O43" s="224"/>
      <c r="P43" s="223"/>
      <c r="Q43" s="221"/>
      <c r="R43" s="234"/>
      <c r="S43" s="235"/>
      <c r="T43" s="235"/>
      <c r="U43" s="235"/>
      <c r="V43" s="235"/>
      <c r="W43" s="220"/>
      <c r="X43" s="221"/>
      <c r="Y43" s="220"/>
      <c r="Z43" s="222"/>
      <c r="AA43" s="235"/>
      <c r="AB43" s="236"/>
      <c r="AC43" s="226"/>
      <c r="AD43" s="223"/>
      <c r="AE43" s="235"/>
      <c r="AF43" s="237"/>
      <c r="AG43" s="238"/>
      <c r="AH43" s="239"/>
      <c r="AI43" s="239"/>
      <c r="AJ43" s="239"/>
      <c r="AK43" s="150"/>
    </row>
    <row r="44" spans="2:37" x14ac:dyDescent="0.2">
      <c r="B44" s="214" t="s">
        <v>153</v>
      </c>
      <c r="C44" s="214" t="s">
        <v>171</v>
      </c>
      <c r="D44" s="232" t="s">
        <v>175</v>
      </c>
      <c r="E44" s="216" t="s">
        <v>527</v>
      </c>
      <c r="F44" s="233"/>
      <c r="G44" s="218"/>
      <c r="H44" s="218"/>
      <c r="I44" s="220"/>
      <c r="J44" s="220"/>
      <c r="K44" s="219"/>
      <c r="L44" s="221"/>
      <c r="M44" s="221"/>
      <c r="N44" s="222"/>
      <c r="O44" s="221"/>
      <c r="P44" s="223"/>
      <c r="Q44" s="221"/>
      <c r="R44" s="234"/>
      <c r="S44" s="235"/>
      <c r="T44" s="235"/>
      <c r="U44" s="235"/>
      <c r="V44" s="235"/>
      <c r="W44" s="220"/>
      <c r="X44" s="221"/>
      <c r="Y44" s="220"/>
      <c r="Z44" s="222"/>
      <c r="AA44" s="235"/>
      <c r="AB44" s="236"/>
      <c r="AC44" s="226"/>
      <c r="AD44" s="223"/>
      <c r="AE44" s="235"/>
      <c r="AF44" s="237"/>
      <c r="AG44" s="238"/>
      <c r="AH44" s="239"/>
      <c r="AI44" s="239"/>
      <c r="AJ44" s="239"/>
      <c r="AK44" s="150"/>
    </row>
    <row r="45" spans="2:37" x14ac:dyDescent="0.2">
      <c r="B45" s="214" t="s">
        <v>153</v>
      </c>
      <c r="C45" s="214" t="s">
        <v>176</v>
      </c>
      <c r="D45" s="215" t="s">
        <v>177</v>
      </c>
      <c r="E45" s="216" t="s">
        <v>527</v>
      </c>
      <c r="F45" s="233"/>
      <c r="G45" s="218"/>
      <c r="H45" s="218"/>
      <c r="I45" s="220"/>
      <c r="J45" s="220"/>
      <c r="K45" s="219"/>
      <c r="L45" s="221"/>
      <c r="M45" s="221"/>
      <c r="N45" s="222"/>
      <c r="O45" s="221"/>
      <c r="P45" s="228"/>
      <c r="Q45" s="221"/>
      <c r="R45" s="225"/>
      <c r="S45" s="226"/>
      <c r="T45" s="226"/>
      <c r="U45" s="226"/>
      <c r="V45" s="226"/>
      <c r="W45" s="218"/>
      <c r="X45" s="224"/>
      <c r="Y45" s="218"/>
      <c r="Z45" s="219"/>
      <c r="AA45" s="226"/>
      <c r="AB45" s="227"/>
      <c r="AC45" s="226"/>
      <c r="AD45" s="228"/>
      <c r="AE45" s="226"/>
      <c r="AF45" s="229"/>
      <c r="AG45" s="230"/>
      <c r="AH45" s="231"/>
      <c r="AI45" s="231"/>
      <c r="AJ45" s="231"/>
      <c r="AK45" s="169"/>
    </row>
    <row r="46" spans="2:37" x14ac:dyDescent="0.2">
      <c r="B46" s="214" t="s">
        <v>153</v>
      </c>
      <c r="C46" s="214" t="s">
        <v>179</v>
      </c>
      <c r="D46" s="215" t="s">
        <v>1025</v>
      </c>
      <c r="E46" s="216" t="s">
        <v>135</v>
      </c>
      <c r="F46" s="217"/>
      <c r="G46" s="218"/>
      <c r="H46" s="218"/>
      <c r="I46" s="220"/>
      <c r="J46" s="220"/>
      <c r="K46" s="219"/>
      <c r="L46" s="221"/>
      <c r="M46" s="221"/>
      <c r="N46" s="222"/>
      <c r="O46" s="221"/>
      <c r="P46" s="223"/>
      <c r="Q46" s="221"/>
      <c r="R46" s="225"/>
      <c r="S46" s="226"/>
      <c r="T46" s="226"/>
      <c r="U46" s="235"/>
      <c r="V46" s="226"/>
      <c r="W46" s="218"/>
      <c r="X46" s="224"/>
      <c r="Y46" s="218"/>
      <c r="Z46" s="219"/>
      <c r="AA46" s="226"/>
      <c r="AB46" s="227"/>
      <c r="AC46" s="226"/>
      <c r="AD46" s="228"/>
      <c r="AE46" s="226"/>
      <c r="AF46" s="229"/>
      <c r="AG46" s="230"/>
      <c r="AH46" s="231"/>
      <c r="AI46" s="231"/>
      <c r="AJ46" s="231"/>
      <c r="AK46" s="169"/>
    </row>
    <row r="47" spans="2:37" x14ac:dyDescent="0.2">
      <c r="B47" s="214" t="s">
        <v>182</v>
      </c>
      <c r="C47" s="214" t="s">
        <v>183</v>
      </c>
      <c r="D47" s="215" t="s">
        <v>184</v>
      </c>
      <c r="E47" s="216" t="s">
        <v>527</v>
      </c>
      <c r="F47" s="217"/>
      <c r="G47" s="218"/>
      <c r="H47" s="220"/>
      <c r="I47" s="219"/>
      <c r="J47" s="218"/>
      <c r="K47" s="222"/>
      <c r="L47" s="221"/>
      <c r="M47" s="221"/>
      <c r="N47" s="222"/>
      <c r="O47" s="221"/>
      <c r="P47" s="223"/>
      <c r="Q47" s="221"/>
      <c r="R47" s="225"/>
      <c r="S47" s="226"/>
      <c r="T47" s="226"/>
      <c r="U47" s="226"/>
      <c r="V47" s="226"/>
      <c r="W47" s="220"/>
      <c r="X47" s="224"/>
      <c r="Y47" s="220"/>
      <c r="Z47" s="219"/>
      <c r="AA47" s="226"/>
      <c r="AB47" s="227"/>
      <c r="AC47" s="226"/>
      <c r="AD47" s="228"/>
      <c r="AE47" s="226"/>
      <c r="AF47" s="229"/>
      <c r="AG47" s="230"/>
      <c r="AH47" s="231"/>
      <c r="AI47" s="239"/>
      <c r="AJ47" s="231"/>
      <c r="AK47" s="169"/>
    </row>
    <row r="48" spans="2:37" x14ac:dyDescent="0.2">
      <c r="B48" s="214" t="s">
        <v>182</v>
      </c>
      <c r="C48" s="214" t="s">
        <v>183</v>
      </c>
      <c r="D48" s="215" t="s">
        <v>186</v>
      </c>
      <c r="E48" s="216" t="s">
        <v>527</v>
      </c>
      <c r="F48" s="217"/>
      <c r="G48" s="218"/>
      <c r="H48" s="218"/>
      <c r="I48" s="220"/>
      <c r="J48" s="220"/>
      <c r="K48" s="219"/>
      <c r="L48" s="221"/>
      <c r="M48" s="221"/>
      <c r="N48" s="222"/>
      <c r="O48" s="221"/>
      <c r="P48" s="223"/>
      <c r="Q48" s="221"/>
      <c r="R48" s="225"/>
      <c r="S48" s="226"/>
      <c r="T48" s="235"/>
      <c r="U48" s="235"/>
      <c r="V48" s="226"/>
      <c r="W48" s="220"/>
      <c r="X48" s="224"/>
      <c r="Y48" s="220"/>
      <c r="Z48" s="219"/>
      <c r="AA48" s="226"/>
      <c r="AB48" s="227"/>
      <c r="AC48" s="226"/>
      <c r="AD48" s="228"/>
      <c r="AE48" s="226"/>
      <c r="AF48" s="229"/>
      <c r="AG48" s="230"/>
      <c r="AH48" s="231"/>
      <c r="AI48" s="231"/>
      <c r="AJ48" s="231"/>
      <c r="AK48" s="169"/>
    </row>
    <row r="49" spans="2:37" x14ac:dyDescent="0.2">
      <c r="B49" s="214" t="s">
        <v>182</v>
      </c>
      <c r="C49" s="214" t="s">
        <v>183</v>
      </c>
      <c r="D49" s="232" t="s">
        <v>547</v>
      </c>
      <c r="E49" s="216" t="s">
        <v>527</v>
      </c>
      <c r="F49" s="217"/>
      <c r="G49" s="218"/>
      <c r="H49" s="220"/>
      <c r="I49" s="220"/>
      <c r="J49" s="220"/>
      <c r="K49" s="219"/>
      <c r="L49" s="221"/>
      <c r="M49" s="221"/>
      <c r="N49" s="222"/>
      <c r="O49" s="221"/>
      <c r="P49" s="228"/>
      <c r="Q49" s="221"/>
      <c r="R49" s="225"/>
      <c r="S49" s="235"/>
      <c r="T49" s="235"/>
      <c r="U49" s="235"/>
      <c r="V49" s="235"/>
      <c r="W49" s="220"/>
      <c r="X49" s="221"/>
      <c r="Y49" s="220"/>
      <c r="Z49" s="222"/>
      <c r="AA49" s="235"/>
      <c r="AB49" s="227"/>
      <c r="AC49" s="226"/>
      <c r="AD49" s="228"/>
      <c r="AE49" s="226"/>
      <c r="AF49" s="229"/>
      <c r="AG49" s="230"/>
      <c r="AH49" s="231"/>
      <c r="AI49" s="231"/>
      <c r="AJ49" s="231"/>
      <c r="AK49" s="169"/>
    </row>
    <row r="50" spans="2:37" x14ac:dyDescent="0.2">
      <c r="B50" s="214" t="s">
        <v>182</v>
      </c>
      <c r="C50" s="214" t="s">
        <v>183</v>
      </c>
      <c r="D50" s="232" t="s">
        <v>187</v>
      </c>
      <c r="E50" s="216" t="s">
        <v>527</v>
      </c>
      <c r="F50" s="217"/>
      <c r="G50" s="218"/>
      <c r="H50" s="218"/>
      <c r="I50" s="219"/>
      <c r="J50" s="218"/>
      <c r="K50" s="219"/>
      <c r="L50" s="221"/>
      <c r="M50" s="221"/>
      <c r="N50" s="222"/>
      <c r="O50" s="224"/>
      <c r="P50" s="223"/>
      <c r="Q50" s="221"/>
      <c r="R50" s="225"/>
      <c r="S50" s="235"/>
      <c r="T50" s="235"/>
      <c r="U50" s="235"/>
      <c r="V50" s="235"/>
      <c r="W50" s="220"/>
      <c r="X50" s="221"/>
      <c r="Y50" s="218"/>
      <c r="Z50" s="219"/>
      <c r="AA50" s="226"/>
      <c r="AB50" s="227"/>
      <c r="AC50" s="226"/>
      <c r="AD50" s="228"/>
      <c r="AE50" s="226"/>
      <c r="AF50" s="229"/>
      <c r="AG50" s="230"/>
      <c r="AH50" s="231"/>
      <c r="AI50" s="231"/>
      <c r="AJ50" s="231"/>
      <c r="AK50" s="169"/>
    </row>
    <row r="51" spans="2:37" x14ac:dyDescent="0.2">
      <c r="B51" s="214" t="s">
        <v>182</v>
      </c>
      <c r="C51" s="214" t="s">
        <v>183</v>
      </c>
      <c r="D51" s="232" t="s">
        <v>188</v>
      </c>
      <c r="E51" s="216" t="s">
        <v>83</v>
      </c>
      <c r="F51" s="217"/>
      <c r="G51" s="218"/>
      <c r="H51" s="218"/>
      <c r="I51" s="219"/>
      <c r="J51" s="218"/>
      <c r="K51" s="219"/>
      <c r="L51" s="221"/>
      <c r="M51" s="221"/>
      <c r="N51" s="219"/>
      <c r="O51" s="221"/>
      <c r="P51" s="228"/>
      <c r="Q51" s="224"/>
      <c r="R51" s="225"/>
      <c r="S51" s="235"/>
      <c r="T51" s="235"/>
      <c r="U51" s="235"/>
      <c r="V51" s="235"/>
      <c r="W51" s="220"/>
      <c r="X51" s="221"/>
      <c r="Y51" s="220"/>
      <c r="Z51" s="222"/>
      <c r="AA51" s="235"/>
      <c r="AB51" s="227"/>
      <c r="AC51" s="226"/>
      <c r="AD51" s="228"/>
      <c r="AE51" s="226"/>
      <c r="AF51" s="229"/>
      <c r="AG51" s="230"/>
      <c r="AH51" s="231"/>
      <c r="AI51" s="231"/>
      <c r="AJ51" s="231"/>
      <c r="AK51" s="169"/>
    </row>
    <row r="52" spans="2:37" x14ac:dyDescent="0.2">
      <c r="B52" s="214" t="s">
        <v>182</v>
      </c>
      <c r="C52" s="214" t="s">
        <v>183</v>
      </c>
      <c r="D52" s="215" t="s">
        <v>190</v>
      </c>
      <c r="E52" s="216" t="s">
        <v>527</v>
      </c>
      <c r="F52" s="217"/>
      <c r="G52" s="218"/>
      <c r="H52" s="218"/>
      <c r="I52" s="220"/>
      <c r="J52" s="220"/>
      <c r="K52" s="219"/>
      <c r="L52" s="221"/>
      <c r="M52" s="221"/>
      <c r="N52" s="222"/>
      <c r="O52" s="221"/>
      <c r="P52" s="228"/>
      <c r="Q52" s="221"/>
      <c r="R52" s="225"/>
      <c r="S52" s="226"/>
      <c r="T52" s="226"/>
      <c r="U52" s="226"/>
      <c r="V52" s="226"/>
      <c r="W52" s="218"/>
      <c r="X52" s="224"/>
      <c r="Y52" s="218"/>
      <c r="Z52" s="219"/>
      <c r="AA52" s="226"/>
      <c r="AB52" s="227"/>
      <c r="AC52" s="226"/>
      <c r="AD52" s="228"/>
      <c r="AE52" s="226"/>
      <c r="AF52" s="229"/>
      <c r="AG52" s="230"/>
      <c r="AH52" s="231"/>
      <c r="AI52" s="231"/>
      <c r="AJ52" s="231"/>
      <c r="AK52" s="169"/>
    </row>
    <row r="53" spans="2:37" x14ac:dyDescent="0.2">
      <c r="B53" s="214" t="s">
        <v>182</v>
      </c>
      <c r="C53" s="214" t="s">
        <v>183</v>
      </c>
      <c r="D53" s="232" t="s">
        <v>191</v>
      </c>
      <c r="E53" s="216" t="s">
        <v>83</v>
      </c>
      <c r="F53" s="233"/>
      <c r="G53" s="218"/>
      <c r="H53" s="220"/>
      <c r="I53" s="220"/>
      <c r="J53" s="220"/>
      <c r="K53" s="222"/>
      <c r="L53" s="221"/>
      <c r="M53" s="221"/>
      <c r="N53" s="222"/>
      <c r="O53" s="221"/>
      <c r="P53" s="223"/>
      <c r="Q53" s="221"/>
      <c r="R53" s="225"/>
      <c r="S53" s="235"/>
      <c r="T53" s="235"/>
      <c r="U53" s="235"/>
      <c r="V53" s="235"/>
      <c r="W53" s="220"/>
      <c r="X53" s="221"/>
      <c r="Y53" s="220"/>
      <c r="Z53" s="222"/>
      <c r="AA53" s="235"/>
      <c r="AB53" s="227"/>
      <c r="AC53" s="226"/>
      <c r="AD53" s="228"/>
      <c r="AE53" s="226"/>
      <c r="AF53" s="229"/>
      <c r="AG53" s="230"/>
      <c r="AH53" s="231"/>
      <c r="AI53" s="239"/>
      <c r="AJ53" s="231"/>
      <c r="AK53" s="169"/>
    </row>
    <row r="54" spans="2:37" x14ac:dyDescent="0.2">
      <c r="B54" s="214" t="s">
        <v>182</v>
      </c>
      <c r="C54" s="214" t="s">
        <v>183</v>
      </c>
      <c r="D54" s="215" t="s">
        <v>546</v>
      </c>
      <c r="E54" s="216" t="s">
        <v>527</v>
      </c>
      <c r="F54" s="217"/>
      <c r="G54" s="218"/>
      <c r="H54" s="218"/>
      <c r="I54" s="219"/>
      <c r="J54" s="218"/>
      <c r="K54" s="219"/>
      <c r="L54" s="221"/>
      <c r="M54" s="221"/>
      <c r="N54" s="222"/>
      <c r="O54" s="221"/>
      <c r="P54" s="228"/>
      <c r="Q54" s="224"/>
      <c r="R54" s="225"/>
      <c r="S54" s="226"/>
      <c r="T54" s="235"/>
      <c r="U54" s="235"/>
      <c r="V54" s="235"/>
      <c r="W54" s="220"/>
      <c r="X54" s="221"/>
      <c r="Y54" s="220"/>
      <c r="Z54" s="219"/>
      <c r="AA54" s="226"/>
      <c r="AB54" s="227"/>
      <c r="AC54" s="226"/>
      <c r="AD54" s="228"/>
      <c r="AE54" s="226"/>
      <c r="AF54" s="229"/>
      <c r="AG54" s="230"/>
      <c r="AH54" s="231"/>
      <c r="AI54" s="231"/>
      <c r="AJ54" s="231"/>
      <c r="AK54" s="169"/>
    </row>
    <row r="55" spans="2:37" x14ac:dyDescent="0.2">
      <c r="B55" s="214" t="s">
        <v>182</v>
      </c>
      <c r="C55" s="214" t="s">
        <v>183</v>
      </c>
      <c r="D55" s="232" t="s">
        <v>192</v>
      </c>
      <c r="E55" s="216" t="s">
        <v>527</v>
      </c>
      <c r="F55" s="233"/>
      <c r="G55" s="218"/>
      <c r="H55" s="220"/>
      <c r="I55" s="220"/>
      <c r="J55" s="220"/>
      <c r="K55" s="222"/>
      <c r="L55" s="221"/>
      <c r="M55" s="221"/>
      <c r="N55" s="222"/>
      <c r="O55" s="221"/>
      <c r="P55" s="223"/>
      <c r="Q55" s="221"/>
      <c r="R55" s="225"/>
      <c r="S55" s="235"/>
      <c r="T55" s="235"/>
      <c r="U55" s="235"/>
      <c r="V55" s="235"/>
      <c r="W55" s="220"/>
      <c r="X55" s="221"/>
      <c r="Y55" s="220"/>
      <c r="Z55" s="222"/>
      <c r="AA55" s="235"/>
      <c r="AB55" s="227"/>
      <c r="AC55" s="226"/>
      <c r="AD55" s="228"/>
      <c r="AE55" s="226"/>
      <c r="AF55" s="229"/>
      <c r="AG55" s="230"/>
      <c r="AH55" s="231"/>
      <c r="AI55" s="231"/>
      <c r="AJ55" s="231"/>
      <c r="AK55" s="169"/>
    </row>
    <row r="56" spans="2:37" x14ac:dyDescent="0.2">
      <c r="B56" s="214" t="s">
        <v>182</v>
      </c>
      <c r="C56" s="214" t="s">
        <v>183</v>
      </c>
      <c r="D56" s="215" t="s">
        <v>193</v>
      </c>
      <c r="E56" s="216" t="s">
        <v>527</v>
      </c>
      <c r="F56" s="217"/>
      <c r="G56" s="218"/>
      <c r="H56" s="218"/>
      <c r="I56" s="219"/>
      <c r="J56" s="218"/>
      <c r="K56" s="219"/>
      <c r="L56" s="221"/>
      <c r="M56" s="224"/>
      <c r="N56" s="219"/>
      <c r="O56" s="224"/>
      <c r="P56" s="228"/>
      <c r="Q56" s="224"/>
      <c r="R56" s="225"/>
      <c r="S56" s="226"/>
      <c r="T56" s="226"/>
      <c r="U56" s="226"/>
      <c r="V56" s="226"/>
      <c r="W56" s="218"/>
      <c r="X56" s="224"/>
      <c r="Y56" s="218"/>
      <c r="Z56" s="219"/>
      <c r="AA56" s="226"/>
      <c r="AB56" s="227"/>
      <c r="AC56" s="226"/>
      <c r="AD56" s="228"/>
      <c r="AE56" s="226"/>
      <c r="AF56" s="229"/>
      <c r="AG56" s="230"/>
      <c r="AH56" s="231"/>
      <c r="AI56" s="231"/>
      <c r="AJ56" s="231"/>
      <c r="AK56" s="169"/>
    </row>
    <row r="57" spans="2:37" x14ac:dyDescent="0.2">
      <c r="B57" s="214" t="s">
        <v>182</v>
      </c>
      <c r="C57" s="214" t="s">
        <v>183</v>
      </c>
      <c r="D57" s="232" t="s">
        <v>194</v>
      </c>
      <c r="E57" s="216" t="s">
        <v>527</v>
      </c>
      <c r="F57" s="217"/>
      <c r="G57" s="218"/>
      <c r="H57" s="220"/>
      <c r="I57" s="220"/>
      <c r="J57" s="220"/>
      <c r="K57" s="222"/>
      <c r="L57" s="221"/>
      <c r="M57" s="221"/>
      <c r="N57" s="219"/>
      <c r="O57" s="221"/>
      <c r="P57" s="228"/>
      <c r="Q57" s="221"/>
      <c r="R57" s="225"/>
      <c r="S57" s="235"/>
      <c r="T57" s="235"/>
      <c r="U57" s="235"/>
      <c r="V57" s="226"/>
      <c r="W57" s="220"/>
      <c r="X57" s="224"/>
      <c r="Y57" s="220"/>
      <c r="Z57" s="222"/>
      <c r="AA57" s="235"/>
      <c r="AB57" s="227"/>
      <c r="AC57" s="226"/>
      <c r="AD57" s="228"/>
      <c r="AE57" s="226"/>
      <c r="AF57" s="229"/>
      <c r="AG57" s="230"/>
      <c r="AH57" s="231"/>
      <c r="AI57" s="239"/>
      <c r="AJ57" s="231"/>
      <c r="AK57" s="169"/>
    </row>
    <row r="58" spans="2:37" x14ac:dyDescent="0.2">
      <c r="B58" s="214" t="s">
        <v>182</v>
      </c>
      <c r="C58" s="214" t="s">
        <v>183</v>
      </c>
      <c r="D58" s="232" t="s">
        <v>195</v>
      </c>
      <c r="E58" s="216" t="s">
        <v>527</v>
      </c>
      <c r="F58" s="217"/>
      <c r="G58" s="218"/>
      <c r="H58" s="220"/>
      <c r="I58" s="220"/>
      <c r="J58" s="220"/>
      <c r="K58" s="222"/>
      <c r="L58" s="221"/>
      <c r="M58" s="221"/>
      <c r="N58" s="222"/>
      <c r="O58" s="221"/>
      <c r="P58" s="223"/>
      <c r="Q58" s="221"/>
      <c r="R58" s="234"/>
      <c r="S58" s="235"/>
      <c r="T58" s="235"/>
      <c r="U58" s="235"/>
      <c r="V58" s="235"/>
      <c r="W58" s="220"/>
      <c r="X58" s="221"/>
      <c r="Y58" s="220"/>
      <c r="Z58" s="222"/>
      <c r="AA58" s="235"/>
      <c r="AB58" s="236"/>
      <c r="AC58" s="226"/>
      <c r="AD58" s="228"/>
      <c r="AE58" s="226"/>
      <c r="AF58" s="240"/>
      <c r="AG58" s="238"/>
      <c r="AH58" s="231"/>
      <c r="AI58" s="231"/>
      <c r="AJ58" s="239"/>
      <c r="AK58" s="168"/>
    </row>
    <row r="59" spans="2:37" x14ac:dyDescent="0.2">
      <c r="B59" s="214" t="s">
        <v>182</v>
      </c>
      <c r="C59" s="214" t="s">
        <v>183</v>
      </c>
      <c r="D59" s="232" t="s">
        <v>196</v>
      </c>
      <c r="E59" s="216" t="s">
        <v>527</v>
      </c>
      <c r="F59" s="233"/>
      <c r="G59" s="218"/>
      <c r="H59" s="220"/>
      <c r="I59" s="220"/>
      <c r="J59" s="220"/>
      <c r="K59" s="222"/>
      <c r="L59" s="221"/>
      <c r="M59" s="221"/>
      <c r="N59" s="222"/>
      <c r="O59" s="221"/>
      <c r="P59" s="223"/>
      <c r="Q59" s="221"/>
      <c r="R59" s="225"/>
      <c r="S59" s="235"/>
      <c r="T59" s="226"/>
      <c r="U59" s="235"/>
      <c r="V59" s="226"/>
      <c r="W59" s="220"/>
      <c r="X59" s="224"/>
      <c r="Y59" s="220"/>
      <c r="Z59" s="222"/>
      <c r="AA59" s="235"/>
      <c r="AB59" s="227"/>
      <c r="AC59" s="226"/>
      <c r="AD59" s="228"/>
      <c r="AE59" s="226"/>
      <c r="AF59" s="240"/>
      <c r="AG59" s="238"/>
      <c r="AH59" s="239"/>
      <c r="AI59" s="239"/>
      <c r="AJ59" s="231"/>
      <c r="AK59" s="168"/>
    </row>
    <row r="60" spans="2:37" x14ac:dyDescent="0.2">
      <c r="B60" s="214" t="s">
        <v>182</v>
      </c>
      <c r="C60" s="214" t="s">
        <v>197</v>
      </c>
      <c r="D60" s="215" t="s">
        <v>198</v>
      </c>
      <c r="E60" s="216" t="s">
        <v>199</v>
      </c>
      <c r="F60" s="217"/>
      <c r="G60" s="218"/>
      <c r="H60" s="218"/>
      <c r="I60" s="220"/>
      <c r="J60" s="220"/>
      <c r="K60" s="219"/>
      <c r="L60" s="221"/>
      <c r="M60" s="221"/>
      <c r="N60" s="222"/>
      <c r="O60" s="221"/>
      <c r="P60" s="223"/>
      <c r="Q60" s="221"/>
      <c r="R60" s="225"/>
      <c r="S60" s="226"/>
      <c r="T60" s="226"/>
      <c r="U60" s="226"/>
      <c r="V60" s="226"/>
      <c r="W60" s="218"/>
      <c r="X60" s="224"/>
      <c r="Y60" s="218"/>
      <c r="Z60" s="219"/>
      <c r="AA60" s="226"/>
      <c r="AB60" s="227"/>
      <c r="AC60" s="226"/>
      <c r="AD60" s="228"/>
      <c r="AE60" s="226"/>
      <c r="AF60" s="229"/>
      <c r="AG60" s="230"/>
      <c r="AH60" s="231"/>
      <c r="AI60" s="231"/>
      <c r="AJ60" s="231"/>
      <c r="AK60" s="150"/>
    </row>
    <row r="61" spans="2:37" x14ac:dyDescent="0.2">
      <c r="B61" s="214" t="s">
        <v>182</v>
      </c>
      <c r="C61" s="214" t="s">
        <v>201</v>
      </c>
      <c r="D61" s="232" t="s">
        <v>202</v>
      </c>
      <c r="E61" s="216" t="s">
        <v>83</v>
      </c>
      <c r="F61" s="217"/>
      <c r="G61" s="218"/>
      <c r="H61" s="218"/>
      <c r="I61" s="220"/>
      <c r="J61" s="220"/>
      <c r="K61" s="219"/>
      <c r="L61" s="221"/>
      <c r="M61" s="221"/>
      <c r="N61" s="222"/>
      <c r="O61" s="221"/>
      <c r="P61" s="223"/>
      <c r="Q61" s="221"/>
      <c r="R61" s="234"/>
      <c r="S61" s="235"/>
      <c r="T61" s="235"/>
      <c r="U61" s="235"/>
      <c r="V61" s="235"/>
      <c r="W61" s="220"/>
      <c r="X61" s="221"/>
      <c r="Y61" s="220"/>
      <c r="Z61" s="222"/>
      <c r="AA61" s="235"/>
      <c r="AB61" s="236"/>
      <c r="AC61" s="226"/>
      <c r="AD61" s="228"/>
      <c r="AE61" s="226"/>
      <c r="AF61" s="237"/>
      <c r="AG61" s="238"/>
      <c r="AH61" s="239"/>
      <c r="AI61" s="239"/>
      <c r="AJ61" s="239"/>
      <c r="AK61" s="150"/>
    </row>
    <row r="62" spans="2:37" x14ac:dyDescent="0.2">
      <c r="B62" s="214" t="s">
        <v>182</v>
      </c>
      <c r="C62" s="214" t="s">
        <v>204</v>
      </c>
      <c r="D62" s="215" t="s">
        <v>205</v>
      </c>
      <c r="E62" s="216" t="s">
        <v>527</v>
      </c>
      <c r="F62" s="217"/>
      <c r="G62" s="218"/>
      <c r="H62" s="218"/>
      <c r="I62" s="220"/>
      <c r="J62" s="218"/>
      <c r="K62" s="219"/>
      <c r="L62" s="224"/>
      <c r="M62" s="224"/>
      <c r="N62" s="219"/>
      <c r="O62" s="221"/>
      <c r="P62" s="228"/>
      <c r="Q62" s="224"/>
      <c r="R62" s="224"/>
      <c r="S62" s="226"/>
      <c r="T62" s="226"/>
      <c r="U62" s="226"/>
      <c r="V62" s="226"/>
      <c r="W62" s="218"/>
      <c r="X62" s="224"/>
      <c r="Y62" s="218"/>
      <c r="Z62" s="219"/>
      <c r="AA62" s="226"/>
      <c r="AB62" s="227"/>
      <c r="AC62" s="226"/>
      <c r="AD62" s="223"/>
      <c r="AE62" s="226"/>
      <c r="AF62" s="237"/>
      <c r="AG62" s="238"/>
      <c r="AH62" s="231"/>
      <c r="AI62" s="231"/>
      <c r="AJ62" s="239"/>
      <c r="AK62" s="150"/>
    </row>
    <row r="63" spans="2:37" x14ac:dyDescent="0.2">
      <c r="B63" s="214" t="s">
        <v>182</v>
      </c>
      <c r="C63" s="214" t="s">
        <v>204</v>
      </c>
      <c r="D63" s="232" t="s">
        <v>208</v>
      </c>
      <c r="E63" s="216" t="s">
        <v>83</v>
      </c>
      <c r="F63" s="217"/>
      <c r="G63" s="218"/>
      <c r="H63" s="218"/>
      <c r="I63" s="219"/>
      <c r="J63" s="220"/>
      <c r="K63" s="219"/>
      <c r="L63" s="221"/>
      <c r="M63" s="221"/>
      <c r="N63" s="222"/>
      <c r="O63" s="221"/>
      <c r="P63" s="223"/>
      <c r="Q63" s="224"/>
      <c r="R63" s="225"/>
      <c r="S63" s="235"/>
      <c r="T63" s="235"/>
      <c r="U63" s="235"/>
      <c r="V63" s="235"/>
      <c r="W63" s="220"/>
      <c r="X63" s="221"/>
      <c r="Y63" s="220"/>
      <c r="Z63" s="222"/>
      <c r="AA63" s="235"/>
      <c r="AB63" s="227"/>
      <c r="AC63" s="226"/>
      <c r="AD63" s="223"/>
      <c r="AE63" s="235"/>
      <c r="AF63" s="237"/>
      <c r="AG63" s="238"/>
      <c r="AH63" s="239"/>
      <c r="AI63" s="239"/>
      <c r="AJ63" s="239"/>
      <c r="AK63" s="150"/>
    </row>
    <row r="64" spans="2:37" ht="19.5" customHeight="1" x14ac:dyDescent="0.2">
      <c r="B64" s="214" t="s">
        <v>182</v>
      </c>
      <c r="C64" s="214" t="s">
        <v>209</v>
      </c>
      <c r="D64" s="215" t="s">
        <v>210</v>
      </c>
      <c r="E64" s="216" t="s">
        <v>529</v>
      </c>
      <c r="F64" s="217"/>
      <c r="G64" s="218"/>
      <c r="H64" s="218"/>
      <c r="I64" s="220"/>
      <c r="J64" s="220"/>
      <c r="K64" s="219"/>
      <c r="L64" s="221"/>
      <c r="M64" s="221"/>
      <c r="N64" s="222"/>
      <c r="O64" s="221"/>
      <c r="P64" s="223"/>
      <c r="Q64" s="221"/>
      <c r="R64" s="225"/>
      <c r="S64" s="235"/>
      <c r="T64" s="235"/>
      <c r="U64" s="235"/>
      <c r="V64" s="226"/>
      <c r="W64" s="218"/>
      <c r="X64" s="224"/>
      <c r="Y64" s="218"/>
      <c r="Z64" s="222"/>
      <c r="AA64" s="235"/>
      <c r="AB64" s="227"/>
      <c r="AC64" s="226"/>
      <c r="AD64" s="228"/>
      <c r="AE64" s="226"/>
      <c r="AF64" s="229"/>
      <c r="AG64" s="230"/>
      <c r="AH64" s="231"/>
      <c r="AI64" s="231"/>
      <c r="AJ64" s="231"/>
    </row>
    <row r="65" spans="2:37" x14ac:dyDescent="0.2">
      <c r="B65" s="214" t="s">
        <v>182</v>
      </c>
      <c r="C65" s="214" t="s">
        <v>209</v>
      </c>
      <c r="D65" s="232" t="s">
        <v>959</v>
      </c>
      <c r="E65" s="216" t="s">
        <v>529</v>
      </c>
      <c r="F65" s="233"/>
      <c r="G65" s="218"/>
      <c r="H65" s="220"/>
      <c r="I65" s="220"/>
      <c r="J65" s="220"/>
      <c r="K65" s="222"/>
      <c r="L65" s="221"/>
      <c r="M65" s="221"/>
      <c r="N65" s="222"/>
      <c r="O65" s="221"/>
      <c r="P65" s="223"/>
      <c r="Q65" s="221"/>
      <c r="R65" s="225"/>
      <c r="S65" s="235"/>
      <c r="T65" s="235"/>
      <c r="U65" s="235"/>
      <c r="V65" s="235"/>
      <c r="W65" s="220"/>
      <c r="X65" s="221"/>
      <c r="Y65" s="220"/>
      <c r="Z65" s="222"/>
      <c r="AA65" s="235"/>
      <c r="AB65" s="227"/>
      <c r="AC65" s="226"/>
      <c r="AD65" s="228"/>
      <c r="AE65" s="226"/>
      <c r="AF65" s="229"/>
      <c r="AG65" s="238"/>
      <c r="AH65" s="239"/>
      <c r="AI65" s="239"/>
      <c r="AJ65" s="239"/>
      <c r="AK65" s="150"/>
    </row>
    <row r="66" spans="2:37" x14ac:dyDescent="0.2">
      <c r="B66" s="214" t="s">
        <v>182</v>
      </c>
      <c r="C66" s="214" t="s">
        <v>209</v>
      </c>
      <c r="D66" s="232" t="s">
        <v>214</v>
      </c>
      <c r="E66" s="216" t="s">
        <v>529</v>
      </c>
      <c r="F66" s="233"/>
      <c r="G66" s="218"/>
      <c r="H66" s="220"/>
      <c r="I66" s="220"/>
      <c r="J66" s="220"/>
      <c r="K66" s="222"/>
      <c r="L66" s="221"/>
      <c r="M66" s="221"/>
      <c r="N66" s="222"/>
      <c r="O66" s="221"/>
      <c r="P66" s="223"/>
      <c r="Q66" s="221"/>
      <c r="R66" s="225"/>
      <c r="S66" s="235"/>
      <c r="T66" s="235"/>
      <c r="U66" s="235"/>
      <c r="V66" s="235"/>
      <c r="W66" s="220"/>
      <c r="X66" s="221"/>
      <c r="Y66" s="218"/>
      <c r="Z66" s="222"/>
      <c r="AA66" s="235"/>
      <c r="AB66" s="227"/>
      <c r="AC66" s="226"/>
      <c r="AD66" s="228"/>
      <c r="AE66" s="226"/>
      <c r="AF66" s="229"/>
      <c r="AG66" s="238"/>
      <c r="AH66" s="231"/>
      <c r="AI66" s="231"/>
      <c r="AJ66" s="239"/>
    </row>
    <row r="67" spans="2:37" x14ac:dyDescent="0.2">
      <c r="B67" s="214" t="s">
        <v>182</v>
      </c>
      <c r="C67" s="214" t="s">
        <v>209</v>
      </c>
      <c r="D67" s="215" t="s">
        <v>215</v>
      </c>
      <c r="E67" s="216" t="s">
        <v>529</v>
      </c>
      <c r="F67" s="217"/>
      <c r="G67" s="218"/>
      <c r="H67" s="218"/>
      <c r="I67" s="220"/>
      <c r="J67" s="220"/>
      <c r="K67" s="219"/>
      <c r="L67" s="221"/>
      <c r="M67" s="221"/>
      <c r="N67" s="222"/>
      <c r="O67" s="224"/>
      <c r="P67" s="223"/>
      <c r="Q67" s="221"/>
      <c r="R67" s="225"/>
      <c r="S67" s="226"/>
      <c r="T67" s="235"/>
      <c r="U67" s="235"/>
      <c r="V67" s="226"/>
      <c r="W67" s="218"/>
      <c r="X67" s="224"/>
      <c r="Y67" s="218"/>
      <c r="Z67" s="219"/>
      <c r="AA67" s="226"/>
      <c r="AB67" s="227"/>
      <c r="AC67" s="226"/>
      <c r="AD67" s="228"/>
      <c r="AE67" s="226"/>
      <c r="AF67" s="229"/>
      <c r="AG67" s="230"/>
      <c r="AH67" s="231"/>
      <c r="AI67" s="231"/>
      <c r="AJ67" s="231"/>
    </row>
    <row r="68" spans="2:37" x14ac:dyDescent="0.2">
      <c r="B68" s="214" t="s">
        <v>182</v>
      </c>
      <c r="C68" s="214" t="s">
        <v>209</v>
      </c>
      <c r="D68" s="215" t="s">
        <v>216</v>
      </c>
      <c r="E68" s="216" t="s">
        <v>529</v>
      </c>
      <c r="F68" s="217"/>
      <c r="G68" s="218"/>
      <c r="H68" s="218"/>
      <c r="I68" s="220"/>
      <c r="J68" s="220"/>
      <c r="K68" s="219"/>
      <c r="L68" s="224"/>
      <c r="M68" s="221"/>
      <c r="N68" s="222"/>
      <c r="O68" s="224"/>
      <c r="P68" s="223"/>
      <c r="Q68" s="221"/>
      <c r="R68" s="225"/>
      <c r="S68" s="226"/>
      <c r="T68" s="235"/>
      <c r="U68" s="235"/>
      <c r="V68" s="235"/>
      <c r="W68" s="220"/>
      <c r="X68" s="221"/>
      <c r="Y68" s="220"/>
      <c r="Z68" s="219"/>
      <c r="AA68" s="226"/>
      <c r="AB68" s="227"/>
      <c r="AC68" s="226"/>
      <c r="AD68" s="228"/>
      <c r="AE68" s="226"/>
      <c r="AF68" s="229"/>
      <c r="AG68" s="238"/>
      <c r="AH68" s="231"/>
      <c r="AI68" s="231"/>
      <c r="AJ68" s="239"/>
    </row>
    <row r="69" spans="2:37" x14ac:dyDescent="0.2">
      <c r="B69" s="214" t="s">
        <v>182</v>
      </c>
      <c r="C69" s="214" t="s">
        <v>209</v>
      </c>
      <c r="D69" s="232" t="s">
        <v>217</v>
      </c>
      <c r="E69" s="216" t="s">
        <v>135</v>
      </c>
      <c r="F69" s="233"/>
      <c r="G69" s="218"/>
      <c r="H69" s="220"/>
      <c r="I69" s="220"/>
      <c r="J69" s="220"/>
      <c r="K69" s="222"/>
      <c r="L69" s="221"/>
      <c r="M69" s="224"/>
      <c r="N69" s="219"/>
      <c r="O69" s="224"/>
      <c r="P69" s="228"/>
      <c r="Q69" s="221"/>
      <c r="R69" s="225"/>
      <c r="S69" s="235"/>
      <c r="T69" s="235"/>
      <c r="U69" s="235"/>
      <c r="V69" s="235"/>
      <c r="W69" s="220"/>
      <c r="X69" s="221"/>
      <c r="Y69" s="218"/>
      <c r="Z69" s="222"/>
      <c r="AA69" s="235"/>
      <c r="AB69" s="227"/>
      <c r="AC69" s="226"/>
      <c r="AD69" s="228"/>
      <c r="AE69" s="226"/>
      <c r="AF69" s="229"/>
      <c r="AG69" s="238"/>
      <c r="AH69" s="231"/>
      <c r="AI69" s="231"/>
      <c r="AJ69" s="239"/>
    </row>
    <row r="70" spans="2:37" x14ac:dyDescent="0.2">
      <c r="B70" s="214" t="s">
        <v>182</v>
      </c>
      <c r="C70" s="214" t="s">
        <v>209</v>
      </c>
      <c r="D70" s="232" t="s">
        <v>218</v>
      </c>
      <c r="E70" s="216" t="s">
        <v>135</v>
      </c>
      <c r="F70" s="233"/>
      <c r="G70" s="218"/>
      <c r="H70" s="220"/>
      <c r="I70" s="220"/>
      <c r="J70" s="220"/>
      <c r="K70" s="222"/>
      <c r="L70" s="221"/>
      <c r="M70" s="224"/>
      <c r="N70" s="219"/>
      <c r="O70" s="224"/>
      <c r="P70" s="228"/>
      <c r="Q70" s="221"/>
      <c r="R70" s="225"/>
      <c r="S70" s="226"/>
      <c r="T70" s="235"/>
      <c r="U70" s="226"/>
      <c r="V70" s="226"/>
      <c r="W70" s="218"/>
      <c r="X70" s="224"/>
      <c r="Y70" s="218"/>
      <c r="Z70" s="219"/>
      <c r="AA70" s="226"/>
      <c r="AB70" s="227"/>
      <c r="AC70" s="226"/>
      <c r="AD70" s="228"/>
      <c r="AE70" s="226"/>
      <c r="AF70" s="229"/>
      <c r="AG70" s="238"/>
      <c r="AH70" s="231"/>
      <c r="AI70" s="231"/>
      <c r="AJ70" s="239"/>
    </row>
    <row r="71" spans="2:37" x14ac:dyDescent="0.2">
      <c r="B71" s="214" t="s">
        <v>182</v>
      </c>
      <c r="C71" s="214" t="s">
        <v>219</v>
      </c>
      <c r="D71" s="232" t="s">
        <v>220</v>
      </c>
      <c r="E71" s="216" t="s">
        <v>83</v>
      </c>
      <c r="F71" s="233"/>
      <c r="G71" s="218"/>
      <c r="H71" s="220"/>
      <c r="I71" s="220"/>
      <c r="J71" s="220"/>
      <c r="K71" s="222"/>
      <c r="L71" s="221"/>
      <c r="M71" s="221"/>
      <c r="N71" s="222"/>
      <c r="O71" s="221"/>
      <c r="P71" s="223"/>
      <c r="Q71" s="221"/>
      <c r="R71" s="234"/>
      <c r="S71" s="235"/>
      <c r="T71" s="235"/>
      <c r="U71" s="235"/>
      <c r="V71" s="235"/>
      <c r="W71" s="220"/>
      <c r="X71" s="221"/>
      <c r="Y71" s="220"/>
      <c r="Z71" s="222"/>
      <c r="AA71" s="235"/>
      <c r="AB71" s="236"/>
      <c r="AC71" s="226"/>
      <c r="AD71" s="228"/>
      <c r="AE71" s="226"/>
      <c r="AF71" s="237"/>
      <c r="AG71" s="238"/>
      <c r="AH71" s="239"/>
      <c r="AI71" s="239"/>
      <c r="AJ71" s="239"/>
    </row>
    <row r="72" spans="2:37" x14ac:dyDescent="0.2">
      <c r="B72" s="214" t="s">
        <v>182</v>
      </c>
      <c r="C72" s="214" t="s">
        <v>219</v>
      </c>
      <c r="D72" s="215" t="s">
        <v>222</v>
      </c>
      <c r="E72" s="216" t="s">
        <v>83</v>
      </c>
      <c r="F72" s="217"/>
      <c r="G72" s="218"/>
      <c r="H72" s="218"/>
      <c r="I72" s="220"/>
      <c r="J72" s="220"/>
      <c r="K72" s="219"/>
      <c r="L72" s="221"/>
      <c r="M72" s="221"/>
      <c r="N72" s="222"/>
      <c r="O72" s="221"/>
      <c r="P72" s="223"/>
      <c r="Q72" s="221"/>
      <c r="R72" s="234"/>
      <c r="S72" s="235"/>
      <c r="T72" s="235"/>
      <c r="U72" s="235"/>
      <c r="V72" s="235"/>
      <c r="W72" s="220"/>
      <c r="X72" s="221"/>
      <c r="Y72" s="220"/>
      <c r="Z72" s="222"/>
      <c r="AA72" s="235"/>
      <c r="AB72" s="227"/>
      <c r="AC72" s="226"/>
      <c r="AD72" s="228"/>
      <c r="AE72" s="226"/>
      <c r="AF72" s="237"/>
      <c r="AG72" s="238"/>
      <c r="AH72" s="231"/>
      <c r="AI72" s="231"/>
      <c r="AJ72" s="239"/>
    </row>
    <row r="73" spans="2:37" x14ac:dyDescent="0.2">
      <c r="B73" s="214" t="s">
        <v>223</v>
      </c>
      <c r="C73" s="214" t="s">
        <v>224</v>
      </c>
      <c r="D73" s="215" t="s">
        <v>225</v>
      </c>
      <c r="E73" s="216" t="s">
        <v>545</v>
      </c>
      <c r="F73" s="233"/>
      <c r="G73" s="218"/>
      <c r="H73" s="218"/>
      <c r="I73" s="220"/>
      <c r="J73" s="220"/>
      <c r="K73" s="219"/>
      <c r="L73" s="221"/>
      <c r="M73" s="221"/>
      <c r="N73" s="222"/>
      <c r="O73" s="221"/>
      <c r="P73" s="223"/>
      <c r="Q73" s="224"/>
      <c r="R73" s="225"/>
      <c r="S73" s="226"/>
      <c r="T73" s="226"/>
      <c r="U73" s="226"/>
      <c r="V73" s="226"/>
      <c r="W73" s="220"/>
      <c r="X73" s="224"/>
      <c r="Y73" s="220"/>
      <c r="Z73" s="219"/>
      <c r="AA73" s="226"/>
      <c r="AB73" s="227"/>
      <c r="AC73" s="226"/>
      <c r="AD73" s="228"/>
      <c r="AE73" s="226"/>
      <c r="AF73" s="229"/>
      <c r="AG73" s="230"/>
      <c r="AH73" s="231"/>
      <c r="AI73" s="231"/>
      <c r="AJ73" s="231"/>
    </row>
    <row r="74" spans="2:37" x14ac:dyDescent="0.2">
      <c r="B74" s="214" t="s">
        <v>223</v>
      </c>
      <c r="C74" s="214" t="s">
        <v>224</v>
      </c>
      <c r="D74" s="215" t="s">
        <v>227</v>
      </c>
      <c r="E74" s="216" t="s">
        <v>527</v>
      </c>
      <c r="F74" s="217"/>
      <c r="G74" s="218"/>
      <c r="H74" s="218"/>
      <c r="I74" s="220"/>
      <c r="J74" s="220"/>
      <c r="K74" s="219"/>
      <c r="L74" s="221"/>
      <c r="M74" s="221"/>
      <c r="N74" s="222"/>
      <c r="O74" s="221"/>
      <c r="P74" s="223"/>
      <c r="Q74" s="221"/>
      <c r="R74" s="225"/>
      <c r="S74" s="226"/>
      <c r="T74" s="235"/>
      <c r="U74" s="226"/>
      <c r="V74" s="226"/>
      <c r="W74" s="220"/>
      <c r="X74" s="224"/>
      <c r="Y74" s="220"/>
      <c r="Z74" s="219"/>
      <c r="AA74" s="226"/>
      <c r="AB74" s="227"/>
      <c r="AC74" s="226"/>
      <c r="AD74" s="228"/>
      <c r="AE74" s="226"/>
      <c r="AF74" s="229"/>
      <c r="AG74" s="230"/>
      <c r="AH74" s="231"/>
      <c r="AI74" s="231"/>
      <c r="AJ74" s="231"/>
    </row>
    <row r="75" spans="2:37" x14ac:dyDescent="0.2">
      <c r="B75" s="214" t="s">
        <v>223</v>
      </c>
      <c r="C75" s="214" t="s">
        <v>224</v>
      </c>
      <c r="D75" s="232" t="s">
        <v>228</v>
      </c>
      <c r="E75" s="216" t="s">
        <v>66</v>
      </c>
      <c r="F75" s="233"/>
      <c r="G75" s="218"/>
      <c r="H75" s="218"/>
      <c r="I75" s="220"/>
      <c r="J75" s="220"/>
      <c r="K75" s="219"/>
      <c r="L75" s="221"/>
      <c r="M75" s="221"/>
      <c r="N75" s="222"/>
      <c r="O75" s="221"/>
      <c r="P75" s="223"/>
      <c r="Q75" s="221"/>
      <c r="R75" s="225"/>
      <c r="S75" s="226"/>
      <c r="T75" s="235"/>
      <c r="U75" s="226"/>
      <c r="V75" s="226"/>
      <c r="W75" s="220"/>
      <c r="X75" s="224"/>
      <c r="Y75" s="220"/>
      <c r="Z75" s="219"/>
      <c r="AA75" s="226"/>
      <c r="AB75" s="227"/>
      <c r="AC75" s="226"/>
      <c r="AD75" s="228"/>
      <c r="AE75" s="226"/>
      <c r="AF75" s="237"/>
      <c r="AG75" s="238"/>
      <c r="AH75" s="239"/>
      <c r="AI75" s="239"/>
      <c r="AJ75" s="239"/>
    </row>
    <row r="76" spans="2:37" x14ac:dyDescent="0.2">
      <c r="B76" s="214" t="s">
        <v>223</v>
      </c>
      <c r="C76" s="214" t="s">
        <v>224</v>
      </c>
      <c r="D76" s="215" t="s">
        <v>531</v>
      </c>
      <c r="E76" s="216" t="s">
        <v>527</v>
      </c>
      <c r="F76" s="233"/>
      <c r="G76" s="218"/>
      <c r="H76" s="220"/>
      <c r="I76" s="220"/>
      <c r="J76" s="220"/>
      <c r="K76" s="222"/>
      <c r="L76" s="221"/>
      <c r="M76" s="221"/>
      <c r="N76" s="222"/>
      <c r="O76" s="221"/>
      <c r="P76" s="223"/>
      <c r="Q76" s="221"/>
      <c r="R76" s="234"/>
      <c r="S76" s="235"/>
      <c r="T76" s="235"/>
      <c r="U76" s="235"/>
      <c r="V76" s="235"/>
      <c r="W76" s="220"/>
      <c r="X76" s="221"/>
      <c r="Y76" s="220"/>
      <c r="Z76" s="222"/>
      <c r="AA76" s="235"/>
      <c r="AB76" s="227"/>
      <c r="AC76" s="226"/>
      <c r="AD76" s="228"/>
      <c r="AE76" s="226"/>
      <c r="AF76" s="237"/>
      <c r="AG76" s="238"/>
      <c r="AH76" s="239"/>
      <c r="AI76" s="239"/>
      <c r="AJ76" s="239"/>
    </row>
    <row r="77" spans="2:37" x14ac:dyDescent="0.2">
      <c r="B77" s="214" t="s">
        <v>223</v>
      </c>
      <c r="C77" s="214" t="s">
        <v>224</v>
      </c>
      <c r="D77" s="232" t="s">
        <v>229</v>
      </c>
      <c r="E77" s="216" t="s">
        <v>83</v>
      </c>
      <c r="F77" s="233"/>
      <c r="G77" s="218"/>
      <c r="H77" s="220"/>
      <c r="I77" s="220"/>
      <c r="J77" s="220"/>
      <c r="K77" s="222"/>
      <c r="L77" s="221"/>
      <c r="M77" s="221"/>
      <c r="N77" s="222"/>
      <c r="O77" s="221"/>
      <c r="P77" s="223"/>
      <c r="Q77" s="221"/>
      <c r="R77" s="234"/>
      <c r="S77" s="235"/>
      <c r="T77" s="235"/>
      <c r="U77" s="235"/>
      <c r="V77" s="235"/>
      <c r="W77" s="220"/>
      <c r="X77" s="221"/>
      <c r="Y77" s="220"/>
      <c r="Z77" s="222"/>
      <c r="AA77" s="235"/>
      <c r="AB77" s="236"/>
      <c r="AC77" s="226"/>
      <c r="AD77" s="223"/>
      <c r="AE77" s="235"/>
      <c r="AF77" s="237"/>
      <c r="AG77" s="238"/>
      <c r="AH77" s="239"/>
      <c r="AI77" s="239"/>
      <c r="AJ77" s="239"/>
    </row>
    <row r="78" spans="2:37" x14ac:dyDescent="0.2">
      <c r="B78" s="214" t="s">
        <v>223</v>
      </c>
      <c r="C78" s="214" t="s">
        <v>224</v>
      </c>
      <c r="D78" s="232" t="s">
        <v>230</v>
      </c>
      <c r="E78" s="216" t="s">
        <v>83</v>
      </c>
      <c r="F78" s="233"/>
      <c r="G78" s="218"/>
      <c r="H78" s="220"/>
      <c r="I78" s="220"/>
      <c r="J78" s="220"/>
      <c r="K78" s="222"/>
      <c r="L78" s="221"/>
      <c r="M78" s="221"/>
      <c r="N78" s="222"/>
      <c r="O78" s="221"/>
      <c r="P78" s="223"/>
      <c r="Q78" s="221"/>
      <c r="R78" s="234"/>
      <c r="S78" s="235"/>
      <c r="T78" s="235"/>
      <c r="U78" s="235"/>
      <c r="V78" s="235"/>
      <c r="W78" s="220"/>
      <c r="X78" s="221"/>
      <c r="Y78" s="220"/>
      <c r="Z78" s="222"/>
      <c r="AA78" s="235"/>
      <c r="AB78" s="236"/>
      <c r="AC78" s="226"/>
      <c r="AD78" s="223"/>
      <c r="AE78" s="235"/>
      <c r="AF78" s="237"/>
      <c r="AG78" s="238"/>
      <c r="AH78" s="239"/>
      <c r="AI78" s="239"/>
      <c r="AJ78" s="239"/>
    </row>
    <row r="79" spans="2:37" x14ac:dyDescent="0.2">
      <c r="B79" s="214" t="s">
        <v>223</v>
      </c>
      <c r="C79" s="214" t="s">
        <v>224</v>
      </c>
      <c r="D79" s="232" t="s">
        <v>232</v>
      </c>
      <c r="E79" s="216" t="s">
        <v>83</v>
      </c>
      <c r="F79" s="233"/>
      <c r="G79" s="218"/>
      <c r="H79" s="220"/>
      <c r="I79" s="220"/>
      <c r="J79" s="220"/>
      <c r="K79" s="222"/>
      <c r="L79" s="221"/>
      <c r="M79" s="221"/>
      <c r="N79" s="222"/>
      <c r="O79" s="221"/>
      <c r="P79" s="223"/>
      <c r="Q79" s="221"/>
      <c r="R79" s="234"/>
      <c r="S79" s="235"/>
      <c r="T79" s="235"/>
      <c r="U79" s="235"/>
      <c r="V79" s="235"/>
      <c r="W79" s="220"/>
      <c r="X79" s="221"/>
      <c r="Y79" s="220"/>
      <c r="Z79" s="222"/>
      <c r="AA79" s="235"/>
      <c r="AB79" s="236"/>
      <c r="AC79" s="226"/>
      <c r="AD79" s="223"/>
      <c r="AE79" s="235"/>
      <c r="AF79" s="237"/>
      <c r="AG79" s="238"/>
      <c r="AH79" s="239"/>
      <c r="AI79" s="239"/>
      <c r="AJ79" s="239"/>
    </row>
    <row r="80" spans="2:37" x14ac:dyDescent="0.2">
      <c r="B80" s="214" t="s">
        <v>223</v>
      </c>
      <c r="C80" s="214" t="s">
        <v>224</v>
      </c>
      <c r="D80" s="215" t="s">
        <v>233</v>
      </c>
      <c r="E80" s="216" t="s">
        <v>83</v>
      </c>
      <c r="F80" s="217"/>
      <c r="G80" s="218"/>
      <c r="H80" s="218"/>
      <c r="I80" s="220"/>
      <c r="J80" s="220"/>
      <c r="K80" s="219"/>
      <c r="L80" s="221"/>
      <c r="M80" s="221"/>
      <c r="N80" s="222"/>
      <c r="O80" s="221"/>
      <c r="P80" s="223"/>
      <c r="Q80" s="221"/>
      <c r="R80" s="234"/>
      <c r="S80" s="235"/>
      <c r="T80" s="235"/>
      <c r="U80" s="235"/>
      <c r="V80" s="235"/>
      <c r="W80" s="220"/>
      <c r="X80" s="221"/>
      <c r="Y80" s="220"/>
      <c r="Z80" s="222"/>
      <c r="AA80" s="235"/>
      <c r="AB80" s="236"/>
      <c r="AC80" s="226"/>
      <c r="AD80" s="228"/>
      <c r="AE80" s="226"/>
      <c r="AF80" s="237"/>
      <c r="AG80" s="238"/>
      <c r="AH80" s="239"/>
      <c r="AI80" s="239"/>
      <c r="AJ80" s="239"/>
    </row>
    <row r="81" spans="2:37" x14ac:dyDescent="0.2">
      <c r="B81" s="214" t="s">
        <v>223</v>
      </c>
      <c r="C81" s="214" t="s">
        <v>234</v>
      </c>
      <c r="D81" s="232" t="s">
        <v>235</v>
      </c>
      <c r="E81" s="216" t="s">
        <v>83</v>
      </c>
      <c r="F81" s="233"/>
      <c r="G81" s="218"/>
      <c r="H81" s="218"/>
      <c r="I81" s="220"/>
      <c r="J81" s="220"/>
      <c r="K81" s="219"/>
      <c r="L81" s="221"/>
      <c r="M81" s="221"/>
      <c r="N81" s="222"/>
      <c r="O81" s="221"/>
      <c r="P81" s="223"/>
      <c r="Q81" s="221"/>
      <c r="R81" s="225"/>
      <c r="S81" s="235"/>
      <c r="T81" s="235"/>
      <c r="U81" s="235"/>
      <c r="V81" s="226"/>
      <c r="W81" s="218"/>
      <c r="X81" s="224"/>
      <c r="Y81" s="218"/>
      <c r="Z81" s="222"/>
      <c r="AA81" s="235"/>
      <c r="AB81" s="227"/>
      <c r="AC81" s="226"/>
      <c r="AD81" s="223"/>
      <c r="AE81" s="235"/>
      <c r="AF81" s="237"/>
      <c r="AG81" s="238"/>
      <c r="AH81" s="239"/>
      <c r="AI81" s="239"/>
      <c r="AJ81" s="239"/>
    </row>
    <row r="82" spans="2:37" x14ac:dyDescent="0.2">
      <c r="B82" s="214" t="s">
        <v>223</v>
      </c>
      <c r="C82" s="214" t="s">
        <v>237</v>
      </c>
      <c r="D82" s="232" t="s">
        <v>238</v>
      </c>
      <c r="E82" s="216" t="s">
        <v>83</v>
      </c>
      <c r="F82" s="217"/>
      <c r="G82" s="218"/>
      <c r="H82" s="220"/>
      <c r="I82" s="220"/>
      <c r="J82" s="220"/>
      <c r="K82" s="222"/>
      <c r="L82" s="221"/>
      <c r="M82" s="221"/>
      <c r="N82" s="222"/>
      <c r="O82" s="221"/>
      <c r="P82" s="223"/>
      <c r="Q82" s="221"/>
      <c r="R82" s="234"/>
      <c r="S82" s="235"/>
      <c r="T82" s="235"/>
      <c r="U82" s="235"/>
      <c r="V82" s="235"/>
      <c r="W82" s="220"/>
      <c r="X82" s="221"/>
      <c r="Y82" s="220"/>
      <c r="Z82" s="222"/>
      <c r="AA82" s="235"/>
      <c r="AB82" s="236"/>
      <c r="AC82" s="226"/>
      <c r="AD82" s="228"/>
      <c r="AE82" s="226"/>
      <c r="AF82" s="237"/>
      <c r="AG82" s="238"/>
      <c r="AH82" s="239"/>
      <c r="AI82" s="239"/>
      <c r="AJ82" s="239"/>
    </row>
    <row r="83" spans="2:37" x14ac:dyDescent="0.2">
      <c r="B83" s="214" t="s">
        <v>223</v>
      </c>
      <c r="C83" s="214" t="s">
        <v>240</v>
      </c>
      <c r="D83" s="232" t="s">
        <v>241</v>
      </c>
      <c r="E83" s="216" t="s">
        <v>242</v>
      </c>
      <c r="F83" s="233"/>
      <c r="G83" s="218"/>
      <c r="H83" s="220"/>
      <c r="I83" s="220"/>
      <c r="J83" s="220"/>
      <c r="K83" s="222"/>
      <c r="L83" s="221"/>
      <c r="M83" s="221"/>
      <c r="N83" s="222"/>
      <c r="O83" s="221"/>
      <c r="P83" s="223"/>
      <c r="Q83" s="221"/>
      <c r="R83" s="234"/>
      <c r="S83" s="235"/>
      <c r="T83" s="235"/>
      <c r="U83" s="235"/>
      <c r="V83" s="235"/>
      <c r="W83" s="220"/>
      <c r="X83" s="221"/>
      <c r="Y83" s="220"/>
      <c r="Z83" s="222"/>
      <c r="AA83" s="235"/>
      <c r="AB83" s="236"/>
      <c r="AC83" s="226"/>
      <c r="AD83" s="223"/>
      <c r="AE83" s="235"/>
      <c r="AF83" s="237"/>
      <c r="AG83" s="238"/>
      <c r="AH83" s="239"/>
      <c r="AI83" s="239"/>
      <c r="AJ83" s="239"/>
    </row>
    <row r="84" spans="2:37" x14ac:dyDescent="0.2">
      <c r="B84" s="214" t="s">
        <v>223</v>
      </c>
      <c r="C84" s="214" t="s">
        <v>244</v>
      </c>
      <c r="D84" s="232" t="s">
        <v>245</v>
      </c>
      <c r="E84" s="216" t="s">
        <v>83</v>
      </c>
      <c r="F84" s="233"/>
      <c r="G84" s="218"/>
      <c r="H84" s="218"/>
      <c r="I84" s="220"/>
      <c r="J84" s="220"/>
      <c r="K84" s="219"/>
      <c r="L84" s="221"/>
      <c r="M84" s="221"/>
      <c r="N84" s="222"/>
      <c r="O84" s="221"/>
      <c r="P84" s="223"/>
      <c r="Q84" s="221"/>
      <c r="R84" s="225"/>
      <c r="S84" s="235"/>
      <c r="T84" s="235"/>
      <c r="U84" s="235"/>
      <c r="V84" s="235"/>
      <c r="W84" s="220"/>
      <c r="X84" s="221"/>
      <c r="Y84" s="220"/>
      <c r="Z84" s="222"/>
      <c r="AA84" s="235"/>
      <c r="AB84" s="236"/>
      <c r="AC84" s="226"/>
      <c r="AD84" s="223"/>
      <c r="AE84" s="235"/>
      <c r="AF84" s="237"/>
      <c r="AG84" s="238"/>
      <c r="AH84" s="239"/>
      <c r="AI84" s="239"/>
      <c r="AJ84" s="239"/>
    </row>
    <row r="85" spans="2:37" ht="18" customHeight="1" x14ac:dyDescent="0.2">
      <c r="B85" s="214" t="s">
        <v>223</v>
      </c>
      <c r="C85" s="214" t="s">
        <v>247</v>
      </c>
      <c r="D85" s="215" t="s">
        <v>248</v>
      </c>
      <c r="E85" s="216" t="s">
        <v>527</v>
      </c>
      <c r="F85" s="233"/>
      <c r="G85" s="218"/>
      <c r="H85" s="220"/>
      <c r="I85" s="220"/>
      <c r="J85" s="220"/>
      <c r="K85" s="222"/>
      <c r="L85" s="221"/>
      <c r="M85" s="221"/>
      <c r="N85" s="222"/>
      <c r="O85" s="221"/>
      <c r="P85" s="223"/>
      <c r="Q85" s="221"/>
      <c r="R85" s="234"/>
      <c r="S85" s="235"/>
      <c r="T85" s="235"/>
      <c r="U85" s="235"/>
      <c r="V85" s="235"/>
      <c r="W85" s="220"/>
      <c r="X85" s="221"/>
      <c r="Y85" s="218"/>
      <c r="Z85" s="222"/>
      <c r="AA85" s="235"/>
      <c r="AB85" s="236"/>
      <c r="AC85" s="226"/>
      <c r="AD85" s="223"/>
      <c r="AE85" s="235"/>
      <c r="AF85" s="237"/>
      <c r="AG85" s="238"/>
      <c r="AH85" s="239"/>
      <c r="AI85" s="239"/>
      <c r="AJ85" s="239"/>
    </row>
    <row r="86" spans="2:37" ht="18.75" customHeight="1" x14ac:dyDescent="0.2">
      <c r="B86" s="214" t="s">
        <v>223</v>
      </c>
      <c r="C86" s="214" t="s">
        <v>249</v>
      </c>
      <c r="D86" s="232" t="s">
        <v>250</v>
      </c>
      <c r="E86" s="216" t="s">
        <v>83</v>
      </c>
      <c r="F86" s="217"/>
      <c r="G86" s="218"/>
      <c r="H86" s="220"/>
      <c r="I86" s="220"/>
      <c r="J86" s="220"/>
      <c r="K86" s="222"/>
      <c r="L86" s="221"/>
      <c r="M86" s="221"/>
      <c r="N86" s="222"/>
      <c r="O86" s="221"/>
      <c r="P86" s="223"/>
      <c r="Q86" s="221"/>
      <c r="R86" s="234"/>
      <c r="S86" s="235"/>
      <c r="T86" s="235"/>
      <c r="U86" s="235"/>
      <c r="V86" s="235"/>
      <c r="W86" s="220"/>
      <c r="X86" s="221"/>
      <c r="Y86" s="220"/>
      <c r="Z86" s="222"/>
      <c r="AA86" s="235"/>
      <c r="AB86" s="236"/>
      <c r="AC86" s="226"/>
      <c r="AD86" s="223"/>
      <c r="AE86" s="235"/>
      <c r="AF86" s="237"/>
      <c r="AG86" s="238"/>
      <c r="AH86" s="239"/>
      <c r="AI86" s="239"/>
      <c r="AJ86" s="239"/>
    </row>
    <row r="87" spans="2:37" ht="18.75" customHeight="1" x14ac:dyDescent="0.2">
      <c r="B87" s="214" t="s">
        <v>252</v>
      </c>
      <c r="C87" s="214" t="s">
        <v>253</v>
      </c>
      <c r="D87" s="232" t="s">
        <v>254</v>
      </c>
      <c r="E87" s="216" t="s">
        <v>83</v>
      </c>
      <c r="F87" s="217"/>
      <c r="G87" s="218"/>
      <c r="H87" s="218"/>
      <c r="I87" s="219"/>
      <c r="J87" s="218"/>
      <c r="K87" s="219"/>
      <c r="L87" s="221"/>
      <c r="M87" s="224"/>
      <c r="N87" s="222"/>
      <c r="O87" s="221"/>
      <c r="P87" s="228"/>
      <c r="Q87" s="224"/>
      <c r="R87" s="225"/>
      <c r="S87" s="226"/>
      <c r="T87" s="226"/>
      <c r="U87" s="226"/>
      <c r="V87" s="226"/>
      <c r="W87" s="220"/>
      <c r="X87" s="224"/>
      <c r="Y87" s="220"/>
      <c r="Z87" s="219"/>
      <c r="AA87" s="226"/>
      <c r="AB87" s="227"/>
      <c r="AC87" s="226"/>
      <c r="AD87" s="228"/>
      <c r="AE87" s="226"/>
      <c r="AF87" s="237"/>
      <c r="AG87" s="238"/>
      <c r="AH87" s="231"/>
      <c r="AI87" s="231"/>
      <c r="AJ87" s="239"/>
    </row>
    <row r="88" spans="2:37" ht="18.75" customHeight="1" x14ac:dyDescent="0.2">
      <c r="B88" s="214" t="s">
        <v>252</v>
      </c>
      <c r="C88" s="214" t="s">
        <v>256</v>
      </c>
      <c r="D88" s="232" t="s">
        <v>257</v>
      </c>
      <c r="E88" s="216" t="s">
        <v>527</v>
      </c>
      <c r="F88" s="217"/>
      <c r="G88" s="218"/>
      <c r="H88" s="220"/>
      <c r="I88" s="220"/>
      <c r="J88" s="220"/>
      <c r="K88" s="222"/>
      <c r="L88" s="221"/>
      <c r="M88" s="221"/>
      <c r="N88" s="222"/>
      <c r="O88" s="221"/>
      <c r="P88" s="223"/>
      <c r="Q88" s="221"/>
      <c r="R88" s="225"/>
      <c r="S88" s="235"/>
      <c r="T88" s="235"/>
      <c r="U88" s="235"/>
      <c r="V88" s="235"/>
      <c r="W88" s="220"/>
      <c r="X88" s="221"/>
      <c r="Y88" s="220"/>
      <c r="Z88" s="222"/>
      <c r="AA88" s="235"/>
      <c r="AB88" s="227"/>
      <c r="AC88" s="226"/>
      <c r="AD88" s="228"/>
      <c r="AE88" s="226"/>
      <c r="AF88" s="229"/>
      <c r="AG88" s="230"/>
      <c r="AH88" s="231"/>
      <c r="AI88" s="231"/>
      <c r="AJ88" s="231"/>
    </row>
    <row r="89" spans="2:37" x14ac:dyDescent="0.2">
      <c r="B89" s="214" t="s">
        <v>252</v>
      </c>
      <c r="C89" s="214" t="s">
        <v>256</v>
      </c>
      <c r="D89" s="232" t="s">
        <v>258</v>
      </c>
      <c r="E89" s="216" t="s">
        <v>66</v>
      </c>
      <c r="F89" s="233"/>
      <c r="G89" s="218"/>
      <c r="H89" s="220"/>
      <c r="I89" s="220"/>
      <c r="J89" s="220"/>
      <c r="K89" s="222"/>
      <c r="L89" s="221"/>
      <c r="M89" s="221"/>
      <c r="N89" s="222"/>
      <c r="O89" s="224"/>
      <c r="P89" s="228"/>
      <c r="Q89" s="224"/>
      <c r="R89" s="225"/>
      <c r="S89" s="235"/>
      <c r="T89" s="235"/>
      <c r="U89" s="235"/>
      <c r="V89" s="226"/>
      <c r="W89" s="220"/>
      <c r="X89" s="224"/>
      <c r="Y89" s="220"/>
      <c r="Z89" s="222"/>
      <c r="AA89" s="235"/>
      <c r="AB89" s="227"/>
      <c r="AC89" s="226"/>
      <c r="AD89" s="228"/>
      <c r="AE89" s="226"/>
      <c r="AF89" s="237"/>
      <c r="AG89" s="238"/>
      <c r="AH89" s="239"/>
      <c r="AI89" s="239"/>
      <c r="AJ89" s="239"/>
    </row>
    <row r="90" spans="2:37" x14ac:dyDescent="0.2">
      <c r="B90" s="214" t="s">
        <v>252</v>
      </c>
      <c r="C90" s="214" t="s">
        <v>260</v>
      </c>
      <c r="D90" s="232" t="s">
        <v>261</v>
      </c>
      <c r="E90" s="216" t="s">
        <v>66</v>
      </c>
      <c r="F90" s="233"/>
      <c r="G90" s="218"/>
      <c r="H90" s="220"/>
      <c r="I90" s="220"/>
      <c r="J90" s="220"/>
      <c r="K90" s="222"/>
      <c r="L90" s="221"/>
      <c r="M90" s="221"/>
      <c r="N90" s="222"/>
      <c r="O90" s="221"/>
      <c r="P90" s="223"/>
      <c r="Q90" s="221"/>
      <c r="R90" s="225"/>
      <c r="S90" s="235"/>
      <c r="T90" s="235"/>
      <c r="U90" s="235"/>
      <c r="V90" s="235"/>
      <c r="W90" s="220"/>
      <c r="X90" s="221"/>
      <c r="Y90" s="220"/>
      <c r="Z90" s="222"/>
      <c r="AA90" s="235"/>
      <c r="AB90" s="236"/>
      <c r="AC90" s="226"/>
      <c r="AD90" s="223"/>
      <c r="AE90" s="235"/>
      <c r="AF90" s="237"/>
      <c r="AG90" s="238"/>
      <c r="AH90" s="239"/>
      <c r="AI90" s="239"/>
      <c r="AJ90" s="239"/>
    </row>
    <row r="91" spans="2:37" ht="13.5" customHeight="1" x14ac:dyDescent="0.2">
      <c r="B91" s="214" t="s">
        <v>252</v>
      </c>
      <c r="C91" s="214" t="s">
        <v>262</v>
      </c>
      <c r="D91" s="215" t="s">
        <v>263</v>
      </c>
      <c r="E91" s="216" t="s">
        <v>83</v>
      </c>
      <c r="F91" s="217"/>
      <c r="G91" s="218"/>
      <c r="H91" s="218"/>
      <c r="I91" s="220"/>
      <c r="J91" s="220"/>
      <c r="K91" s="219"/>
      <c r="L91" s="221"/>
      <c r="M91" s="221"/>
      <c r="N91" s="222"/>
      <c r="O91" s="221"/>
      <c r="P91" s="223"/>
      <c r="Q91" s="221"/>
      <c r="R91" s="225"/>
      <c r="S91" s="226"/>
      <c r="T91" s="235"/>
      <c r="U91" s="235"/>
      <c r="V91" s="226"/>
      <c r="W91" s="218"/>
      <c r="X91" s="224"/>
      <c r="Y91" s="218"/>
      <c r="Z91" s="219"/>
      <c r="AA91" s="226"/>
      <c r="AB91" s="227"/>
      <c r="AC91" s="226"/>
      <c r="AD91" s="228"/>
      <c r="AE91" s="226"/>
      <c r="AF91" s="229"/>
      <c r="AG91" s="230"/>
      <c r="AH91" s="231"/>
      <c r="AI91" s="231"/>
      <c r="AJ91" s="231"/>
    </row>
    <row r="92" spans="2:37" x14ac:dyDescent="0.2">
      <c r="B92" s="214" t="s">
        <v>252</v>
      </c>
      <c r="C92" s="214" t="s">
        <v>264</v>
      </c>
      <c r="D92" s="232" t="s">
        <v>265</v>
      </c>
      <c r="E92" s="216" t="s">
        <v>83</v>
      </c>
      <c r="F92" s="217"/>
      <c r="G92" s="218"/>
      <c r="H92" s="218"/>
      <c r="I92" s="220"/>
      <c r="J92" s="220"/>
      <c r="K92" s="219"/>
      <c r="L92" s="221"/>
      <c r="M92" s="221"/>
      <c r="N92" s="222"/>
      <c r="O92" s="221"/>
      <c r="P92" s="223"/>
      <c r="Q92" s="221"/>
      <c r="R92" s="225"/>
      <c r="S92" s="226"/>
      <c r="T92" s="226"/>
      <c r="U92" s="226"/>
      <c r="V92" s="226"/>
      <c r="W92" s="218"/>
      <c r="X92" s="224"/>
      <c r="Y92" s="218"/>
      <c r="Z92" s="219"/>
      <c r="AA92" s="226"/>
      <c r="AB92" s="227"/>
      <c r="AC92" s="226"/>
      <c r="AD92" s="228"/>
      <c r="AE92" s="226"/>
      <c r="AF92" s="229"/>
      <c r="AG92" s="230"/>
      <c r="AH92" s="231"/>
      <c r="AI92" s="239"/>
      <c r="AJ92" s="231"/>
      <c r="AK92" s="170"/>
    </row>
    <row r="93" spans="2:37" x14ac:dyDescent="0.2">
      <c r="B93" s="214" t="s">
        <v>252</v>
      </c>
      <c r="C93" s="214" t="s">
        <v>264</v>
      </c>
      <c r="D93" s="232" t="s">
        <v>267</v>
      </c>
      <c r="E93" s="216" t="s">
        <v>83</v>
      </c>
      <c r="F93" s="217"/>
      <c r="G93" s="218"/>
      <c r="H93" s="218"/>
      <c r="I93" s="220"/>
      <c r="J93" s="220"/>
      <c r="K93" s="219"/>
      <c r="L93" s="221"/>
      <c r="M93" s="221"/>
      <c r="N93" s="222"/>
      <c r="O93" s="221"/>
      <c r="P93" s="223"/>
      <c r="Q93" s="221"/>
      <c r="R93" s="225"/>
      <c r="S93" s="226"/>
      <c r="T93" s="226"/>
      <c r="U93" s="226"/>
      <c r="V93" s="226"/>
      <c r="W93" s="218"/>
      <c r="X93" s="224"/>
      <c r="Y93" s="218"/>
      <c r="Z93" s="219"/>
      <c r="AA93" s="226"/>
      <c r="AB93" s="227"/>
      <c r="AC93" s="226"/>
      <c r="AD93" s="228"/>
      <c r="AE93" s="226"/>
      <c r="AF93" s="229"/>
      <c r="AG93" s="230"/>
      <c r="AH93" s="231"/>
      <c r="AI93" s="231"/>
      <c r="AJ93" s="231"/>
      <c r="AK93" s="170"/>
    </row>
    <row r="94" spans="2:37" x14ac:dyDescent="0.2">
      <c r="B94" s="214" t="s">
        <v>252</v>
      </c>
      <c r="C94" s="214" t="s">
        <v>264</v>
      </c>
      <c r="D94" s="232" t="s">
        <v>268</v>
      </c>
      <c r="E94" s="216" t="s">
        <v>527</v>
      </c>
      <c r="F94" s="217"/>
      <c r="G94" s="218"/>
      <c r="H94" s="218"/>
      <c r="I94" s="219"/>
      <c r="J94" s="218"/>
      <c r="K94" s="219"/>
      <c r="L94" s="221"/>
      <c r="M94" s="221"/>
      <c r="N94" s="222"/>
      <c r="O94" s="221"/>
      <c r="P94" s="223"/>
      <c r="Q94" s="224"/>
      <c r="R94" s="225"/>
      <c r="S94" s="226"/>
      <c r="T94" s="235"/>
      <c r="U94" s="226"/>
      <c r="V94" s="226"/>
      <c r="W94" s="218"/>
      <c r="X94" s="224"/>
      <c r="Y94" s="218"/>
      <c r="Z94" s="219"/>
      <c r="AA94" s="226"/>
      <c r="AB94" s="227"/>
      <c r="AC94" s="226"/>
      <c r="AD94" s="228"/>
      <c r="AE94" s="226"/>
      <c r="AF94" s="229"/>
      <c r="AG94" s="230"/>
      <c r="AH94" s="231"/>
      <c r="AI94" s="231"/>
      <c r="AJ94" s="231"/>
      <c r="AK94" s="171"/>
    </row>
    <row r="95" spans="2:37" x14ac:dyDescent="0.2">
      <c r="B95" s="214" t="s">
        <v>252</v>
      </c>
      <c r="C95" s="214" t="s">
        <v>270</v>
      </c>
      <c r="D95" s="232" t="s">
        <v>271</v>
      </c>
      <c r="E95" s="216" t="s">
        <v>83</v>
      </c>
      <c r="F95" s="217"/>
      <c r="G95" s="218"/>
      <c r="H95" s="220"/>
      <c r="I95" s="220"/>
      <c r="J95" s="220"/>
      <c r="K95" s="222"/>
      <c r="L95" s="221"/>
      <c r="M95" s="221"/>
      <c r="N95" s="222"/>
      <c r="O95" s="221"/>
      <c r="P95" s="223"/>
      <c r="Q95" s="221"/>
      <c r="R95" s="234"/>
      <c r="S95" s="235"/>
      <c r="T95" s="235"/>
      <c r="U95" s="235"/>
      <c r="V95" s="235"/>
      <c r="W95" s="220"/>
      <c r="X95" s="221"/>
      <c r="Y95" s="220"/>
      <c r="Z95" s="222"/>
      <c r="AA95" s="235"/>
      <c r="AB95" s="236"/>
      <c r="AC95" s="226"/>
      <c r="AD95" s="223"/>
      <c r="AE95" s="235"/>
      <c r="AF95" s="237"/>
      <c r="AG95" s="238"/>
      <c r="AH95" s="239"/>
      <c r="AI95" s="239"/>
      <c r="AJ95" s="239"/>
    </row>
    <row r="96" spans="2:37" x14ac:dyDescent="0.2">
      <c r="B96" s="214" t="s">
        <v>252</v>
      </c>
      <c r="C96" s="214" t="s">
        <v>272</v>
      </c>
      <c r="D96" s="215" t="s">
        <v>273</v>
      </c>
      <c r="E96" s="216" t="s">
        <v>527</v>
      </c>
      <c r="F96" s="233"/>
      <c r="G96" s="218"/>
      <c r="H96" s="220"/>
      <c r="I96" s="220"/>
      <c r="J96" s="220"/>
      <c r="K96" s="222"/>
      <c r="L96" s="221"/>
      <c r="M96" s="221"/>
      <c r="N96" s="222"/>
      <c r="O96" s="221"/>
      <c r="P96" s="223"/>
      <c r="Q96" s="221"/>
      <c r="R96" s="234"/>
      <c r="S96" s="235"/>
      <c r="T96" s="235"/>
      <c r="U96" s="235"/>
      <c r="V96" s="235"/>
      <c r="W96" s="220"/>
      <c r="X96" s="221"/>
      <c r="Y96" s="218"/>
      <c r="Z96" s="222"/>
      <c r="AA96" s="235"/>
      <c r="AB96" s="236"/>
      <c r="AC96" s="226"/>
      <c r="AD96" s="223"/>
      <c r="AE96" s="235"/>
      <c r="AF96" s="237"/>
      <c r="AG96" s="238"/>
      <c r="AH96" s="239"/>
      <c r="AI96" s="239"/>
      <c r="AJ96" s="239"/>
    </row>
    <row r="97" spans="2:37" x14ac:dyDescent="0.2">
      <c r="B97" s="214" t="s">
        <v>252</v>
      </c>
      <c r="C97" s="214" t="s">
        <v>274</v>
      </c>
      <c r="D97" s="215" t="s">
        <v>275</v>
      </c>
      <c r="E97" s="216" t="s">
        <v>527</v>
      </c>
      <c r="F97" s="233"/>
      <c r="G97" s="218"/>
      <c r="H97" s="220"/>
      <c r="I97" s="220"/>
      <c r="J97" s="220"/>
      <c r="K97" s="222"/>
      <c r="L97" s="221"/>
      <c r="M97" s="221"/>
      <c r="N97" s="222"/>
      <c r="O97" s="221"/>
      <c r="P97" s="223"/>
      <c r="Q97" s="221"/>
      <c r="R97" s="234"/>
      <c r="S97" s="235"/>
      <c r="T97" s="235"/>
      <c r="U97" s="235"/>
      <c r="V97" s="235"/>
      <c r="W97" s="220"/>
      <c r="X97" s="221"/>
      <c r="Y97" s="218"/>
      <c r="Z97" s="222"/>
      <c r="AA97" s="235"/>
      <c r="AB97" s="236"/>
      <c r="AC97" s="226"/>
      <c r="AD97" s="223"/>
      <c r="AE97" s="235"/>
      <c r="AF97" s="237"/>
      <c r="AG97" s="238"/>
      <c r="AH97" s="239"/>
      <c r="AI97" s="239"/>
      <c r="AJ97" s="239"/>
    </row>
    <row r="98" spans="2:37" x14ac:dyDescent="0.2">
      <c r="B98" s="214" t="s">
        <v>252</v>
      </c>
      <c r="C98" s="214" t="s">
        <v>274</v>
      </c>
      <c r="D98" s="215" t="s">
        <v>276</v>
      </c>
      <c r="E98" s="216" t="s">
        <v>527</v>
      </c>
      <c r="F98" s="233"/>
      <c r="G98" s="218"/>
      <c r="H98" s="220"/>
      <c r="I98" s="220"/>
      <c r="J98" s="220"/>
      <c r="K98" s="222"/>
      <c r="L98" s="221"/>
      <c r="M98" s="221"/>
      <c r="N98" s="222"/>
      <c r="O98" s="221"/>
      <c r="P98" s="223"/>
      <c r="Q98" s="221"/>
      <c r="R98" s="234"/>
      <c r="S98" s="235"/>
      <c r="T98" s="235"/>
      <c r="U98" s="235"/>
      <c r="V98" s="235"/>
      <c r="W98" s="220"/>
      <c r="X98" s="221"/>
      <c r="Y98" s="218"/>
      <c r="Z98" s="222"/>
      <c r="AA98" s="235"/>
      <c r="AB98" s="236"/>
      <c r="AC98" s="226"/>
      <c r="AD98" s="223"/>
      <c r="AE98" s="235"/>
      <c r="AF98" s="237"/>
      <c r="AG98" s="238"/>
      <c r="AH98" s="239"/>
      <c r="AI98" s="239"/>
      <c r="AJ98" s="239"/>
    </row>
    <row r="99" spans="2:37" x14ac:dyDescent="0.2">
      <c r="B99" s="214" t="s">
        <v>252</v>
      </c>
      <c r="C99" s="214" t="s">
        <v>274</v>
      </c>
      <c r="D99" s="215" t="s">
        <v>277</v>
      </c>
      <c r="E99" s="216" t="s">
        <v>527</v>
      </c>
      <c r="F99" s="233"/>
      <c r="G99" s="218"/>
      <c r="H99" s="220"/>
      <c r="I99" s="220"/>
      <c r="J99" s="220"/>
      <c r="K99" s="222"/>
      <c r="L99" s="221"/>
      <c r="M99" s="221"/>
      <c r="N99" s="222"/>
      <c r="O99" s="221"/>
      <c r="P99" s="223"/>
      <c r="Q99" s="221"/>
      <c r="R99" s="234"/>
      <c r="S99" s="235"/>
      <c r="T99" s="235"/>
      <c r="U99" s="235"/>
      <c r="V99" s="235"/>
      <c r="W99" s="220"/>
      <c r="X99" s="221"/>
      <c r="Y99" s="218"/>
      <c r="Z99" s="222"/>
      <c r="AA99" s="235"/>
      <c r="AB99" s="236"/>
      <c r="AC99" s="226"/>
      <c r="AD99" s="223"/>
      <c r="AE99" s="235"/>
      <c r="AF99" s="237"/>
      <c r="AG99" s="238"/>
      <c r="AH99" s="239"/>
      <c r="AI99" s="239"/>
      <c r="AJ99" s="239"/>
      <c r="AK99" s="150"/>
    </row>
    <row r="100" spans="2:37" ht="14.25" customHeight="1" x14ac:dyDescent="0.2">
      <c r="B100" s="214" t="s">
        <v>252</v>
      </c>
      <c r="C100" s="214" t="s">
        <v>274</v>
      </c>
      <c r="D100" s="215" t="s">
        <v>278</v>
      </c>
      <c r="E100" s="216" t="s">
        <v>527</v>
      </c>
      <c r="F100" s="233"/>
      <c r="G100" s="218"/>
      <c r="H100" s="220"/>
      <c r="I100" s="220"/>
      <c r="J100" s="220"/>
      <c r="K100" s="222"/>
      <c r="L100" s="221"/>
      <c r="M100" s="221"/>
      <c r="N100" s="222"/>
      <c r="O100" s="221"/>
      <c r="P100" s="223"/>
      <c r="Q100" s="221"/>
      <c r="R100" s="234"/>
      <c r="S100" s="235"/>
      <c r="T100" s="235"/>
      <c r="U100" s="235"/>
      <c r="V100" s="235"/>
      <c r="W100" s="220"/>
      <c r="X100" s="221"/>
      <c r="Y100" s="218"/>
      <c r="Z100" s="222"/>
      <c r="AA100" s="235"/>
      <c r="AB100" s="236"/>
      <c r="AC100" s="226"/>
      <c r="AD100" s="223"/>
      <c r="AE100" s="235"/>
      <c r="AF100" s="237"/>
      <c r="AG100" s="238"/>
      <c r="AH100" s="239"/>
      <c r="AI100" s="239"/>
      <c r="AJ100" s="239"/>
      <c r="AK100" s="150"/>
    </row>
    <row r="101" spans="2:37" ht="14.25" customHeight="1" x14ac:dyDescent="0.2">
      <c r="B101" s="214" t="s">
        <v>252</v>
      </c>
      <c r="C101" s="214" t="s">
        <v>274</v>
      </c>
      <c r="D101" s="215" t="s">
        <v>279</v>
      </c>
      <c r="E101" s="216" t="s">
        <v>527</v>
      </c>
      <c r="F101" s="233"/>
      <c r="G101" s="218"/>
      <c r="H101" s="220"/>
      <c r="I101" s="220"/>
      <c r="J101" s="220"/>
      <c r="K101" s="222"/>
      <c r="L101" s="221"/>
      <c r="M101" s="221"/>
      <c r="N101" s="222"/>
      <c r="O101" s="221"/>
      <c r="P101" s="223"/>
      <c r="Q101" s="221"/>
      <c r="R101" s="234"/>
      <c r="S101" s="235"/>
      <c r="T101" s="235"/>
      <c r="U101" s="235"/>
      <c r="V101" s="235"/>
      <c r="W101" s="220"/>
      <c r="X101" s="221"/>
      <c r="Y101" s="218"/>
      <c r="Z101" s="222"/>
      <c r="AA101" s="235"/>
      <c r="AB101" s="236"/>
      <c r="AC101" s="226"/>
      <c r="AD101" s="223"/>
      <c r="AE101" s="235"/>
      <c r="AF101" s="237"/>
      <c r="AG101" s="238"/>
      <c r="AH101" s="239"/>
      <c r="AI101" s="239"/>
      <c r="AJ101" s="239"/>
      <c r="AK101" s="150"/>
    </row>
    <row r="102" spans="2:37" ht="14.25" customHeight="1" x14ac:dyDescent="0.2">
      <c r="B102" s="214" t="s">
        <v>252</v>
      </c>
      <c r="C102" s="214" t="s">
        <v>274</v>
      </c>
      <c r="D102" s="215" t="s">
        <v>530</v>
      </c>
      <c r="E102" s="216" t="s">
        <v>527</v>
      </c>
      <c r="F102" s="233"/>
      <c r="G102" s="218"/>
      <c r="H102" s="220"/>
      <c r="I102" s="220"/>
      <c r="J102" s="220"/>
      <c r="K102" s="222"/>
      <c r="L102" s="221"/>
      <c r="M102" s="221"/>
      <c r="N102" s="222"/>
      <c r="O102" s="221"/>
      <c r="P102" s="223"/>
      <c r="Q102" s="221"/>
      <c r="R102" s="234"/>
      <c r="S102" s="235"/>
      <c r="T102" s="235"/>
      <c r="U102" s="235"/>
      <c r="V102" s="235"/>
      <c r="W102" s="220"/>
      <c r="X102" s="221"/>
      <c r="Y102" s="220"/>
      <c r="Z102" s="222"/>
      <c r="AA102" s="235"/>
      <c r="AB102" s="236"/>
      <c r="AC102" s="226"/>
      <c r="AD102" s="228"/>
      <c r="AE102" s="226"/>
      <c r="AF102" s="237"/>
      <c r="AG102" s="238"/>
      <c r="AH102" s="239"/>
      <c r="AI102" s="239"/>
      <c r="AJ102" s="239"/>
      <c r="AK102" s="150"/>
    </row>
    <row r="103" spans="2:37" ht="14.25" customHeight="1" x14ac:dyDescent="0.2">
      <c r="B103" s="214" t="s">
        <v>252</v>
      </c>
      <c r="C103" s="214" t="s">
        <v>274</v>
      </c>
      <c r="D103" s="215" t="s">
        <v>280</v>
      </c>
      <c r="E103" s="216" t="s">
        <v>527</v>
      </c>
      <c r="F103" s="217"/>
      <c r="G103" s="218"/>
      <c r="H103" s="220"/>
      <c r="I103" s="220"/>
      <c r="J103" s="220"/>
      <c r="K103" s="222"/>
      <c r="L103" s="224"/>
      <c r="M103" s="224"/>
      <c r="N103" s="219"/>
      <c r="O103" s="224"/>
      <c r="P103" s="223"/>
      <c r="Q103" s="221"/>
      <c r="R103" s="234"/>
      <c r="S103" s="235"/>
      <c r="T103" s="235"/>
      <c r="U103" s="235"/>
      <c r="V103" s="235"/>
      <c r="W103" s="220"/>
      <c r="X103" s="221"/>
      <c r="Y103" s="220"/>
      <c r="Z103" s="222"/>
      <c r="AA103" s="235"/>
      <c r="AB103" s="236"/>
      <c r="AC103" s="226"/>
      <c r="AD103" s="223"/>
      <c r="AE103" s="235"/>
      <c r="AF103" s="237"/>
      <c r="AG103" s="238"/>
      <c r="AH103" s="239"/>
      <c r="AI103" s="239"/>
      <c r="AJ103" s="239"/>
      <c r="AK103" s="150"/>
    </row>
    <row r="104" spans="2:37" x14ac:dyDescent="0.2">
      <c r="B104" s="214" t="s">
        <v>281</v>
      </c>
      <c r="C104" s="214" t="s">
        <v>282</v>
      </c>
      <c r="D104" s="232" t="s">
        <v>283</v>
      </c>
      <c r="E104" s="216" t="s">
        <v>527</v>
      </c>
      <c r="F104" s="233"/>
      <c r="G104" s="218"/>
      <c r="H104" s="242"/>
      <c r="I104" s="242"/>
      <c r="J104" s="220"/>
      <c r="K104" s="222"/>
      <c r="L104" s="221"/>
      <c r="M104" s="221"/>
      <c r="N104" s="222"/>
      <c r="O104" s="221"/>
      <c r="P104" s="223"/>
      <c r="Q104" s="221"/>
      <c r="R104" s="225"/>
      <c r="S104" s="226"/>
      <c r="T104" s="235"/>
      <c r="U104" s="235"/>
      <c r="V104" s="226"/>
      <c r="W104" s="218"/>
      <c r="X104" s="221"/>
      <c r="Y104" s="220"/>
      <c r="Z104" s="219"/>
      <c r="AA104" s="226"/>
      <c r="AB104" s="227"/>
      <c r="AC104" s="226"/>
      <c r="AD104" s="228"/>
      <c r="AE104" s="226"/>
      <c r="AF104" s="237"/>
      <c r="AG104" s="230"/>
      <c r="AH104" s="231"/>
      <c r="AI104" s="231"/>
      <c r="AJ104" s="239"/>
      <c r="AK104" s="150"/>
    </row>
    <row r="105" spans="2:37" x14ac:dyDescent="0.2">
      <c r="B105" s="214" t="s">
        <v>281</v>
      </c>
      <c r="C105" s="214" t="s">
        <v>285</v>
      </c>
      <c r="D105" s="215" t="s">
        <v>286</v>
      </c>
      <c r="E105" s="216" t="s">
        <v>83</v>
      </c>
      <c r="F105" s="233"/>
      <c r="G105" s="218"/>
      <c r="H105" s="218"/>
      <c r="I105" s="220"/>
      <c r="J105" s="220"/>
      <c r="K105" s="219"/>
      <c r="L105" s="221"/>
      <c r="M105" s="221"/>
      <c r="N105" s="222"/>
      <c r="O105" s="221"/>
      <c r="P105" s="223"/>
      <c r="Q105" s="221"/>
      <c r="R105" s="234"/>
      <c r="S105" s="235"/>
      <c r="T105" s="235"/>
      <c r="U105" s="235"/>
      <c r="V105" s="235"/>
      <c r="W105" s="220"/>
      <c r="X105" s="221"/>
      <c r="Y105" s="220"/>
      <c r="Z105" s="222"/>
      <c r="AA105" s="235"/>
      <c r="AB105" s="236"/>
      <c r="AC105" s="226"/>
      <c r="AD105" s="223"/>
      <c r="AE105" s="235"/>
      <c r="AF105" s="237"/>
      <c r="AG105" s="238"/>
      <c r="AH105" s="239"/>
      <c r="AI105" s="239"/>
      <c r="AJ105" s="239"/>
      <c r="AK105" s="150"/>
    </row>
    <row r="106" spans="2:37" x14ac:dyDescent="0.2">
      <c r="B106" s="214" t="s">
        <v>281</v>
      </c>
      <c r="C106" s="214" t="s">
        <v>287</v>
      </c>
      <c r="D106" s="215" t="s">
        <v>288</v>
      </c>
      <c r="E106" s="216" t="s">
        <v>527</v>
      </c>
      <c r="F106" s="217"/>
      <c r="G106" s="218"/>
      <c r="H106" s="220"/>
      <c r="I106" s="220"/>
      <c r="J106" s="220"/>
      <c r="K106" s="222"/>
      <c r="L106" s="221"/>
      <c r="M106" s="221"/>
      <c r="N106" s="222"/>
      <c r="O106" s="221"/>
      <c r="P106" s="223"/>
      <c r="Q106" s="221"/>
      <c r="R106" s="225"/>
      <c r="S106" s="226"/>
      <c r="T106" s="235"/>
      <c r="U106" s="235"/>
      <c r="V106" s="226"/>
      <c r="W106" s="218"/>
      <c r="X106" s="224"/>
      <c r="Y106" s="218"/>
      <c r="Z106" s="219"/>
      <c r="AA106" s="226"/>
      <c r="AB106" s="227"/>
      <c r="AC106" s="226"/>
      <c r="AD106" s="228"/>
      <c r="AE106" s="226"/>
      <c r="AF106" s="229"/>
      <c r="AG106" s="230"/>
      <c r="AH106" s="231"/>
      <c r="AI106" s="231"/>
      <c r="AJ106" s="231"/>
      <c r="AK106" s="150"/>
    </row>
    <row r="107" spans="2:37" x14ac:dyDescent="0.2">
      <c r="B107" s="214" t="s">
        <v>281</v>
      </c>
      <c r="C107" s="214" t="s">
        <v>287</v>
      </c>
      <c r="D107" s="215" t="s">
        <v>291</v>
      </c>
      <c r="E107" s="216" t="s">
        <v>527</v>
      </c>
      <c r="F107" s="217"/>
      <c r="G107" s="218"/>
      <c r="H107" s="218"/>
      <c r="I107" s="219"/>
      <c r="J107" s="218"/>
      <c r="K107" s="219"/>
      <c r="L107" s="221"/>
      <c r="M107" s="221"/>
      <c r="N107" s="222"/>
      <c r="O107" s="224"/>
      <c r="P107" s="223"/>
      <c r="Q107" s="224"/>
      <c r="R107" s="234"/>
      <c r="S107" s="235"/>
      <c r="T107" s="235"/>
      <c r="U107" s="235"/>
      <c r="V107" s="235"/>
      <c r="W107" s="220"/>
      <c r="X107" s="221"/>
      <c r="Y107" s="220"/>
      <c r="Z107" s="222"/>
      <c r="AA107" s="235"/>
      <c r="AB107" s="236"/>
      <c r="AC107" s="226"/>
      <c r="AD107" s="223"/>
      <c r="AE107" s="235"/>
      <c r="AF107" s="237"/>
      <c r="AG107" s="238"/>
      <c r="AH107" s="239"/>
      <c r="AI107" s="239"/>
      <c r="AJ107" s="239"/>
      <c r="AK107" s="150"/>
    </row>
    <row r="108" spans="2:37" x14ac:dyDescent="0.2">
      <c r="B108" s="214" t="s">
        <v>281</v>
      </c>
      <c r="C108" s="214" t="s">
        <v>287</v>
      </c>
      <c r="D108" s="215" t="s">
        <v>292</v>
      </c>
      <c r="E108" s="216" t="s">
        <v>83</v>
      </c>
      <c r="F108" s="217"/>
      <c r="G108" s="218"/>
      <c r="H108" s="218"/>
      <c r="I108" s="220"/>
      <c r="J108" s="220"/>
      <c r="K108" s="219"/>
      <c r="L108" s="221"/>
      <c r="M108" s="221"/>
      <c r="N108" s="222"/>
      <c r="O108" s="221"/>
      <c r="P108" s="223"/>
      <c r="Q108" s="221"/>
      <c r="R108" s="225"/>
      <c r="S108" s="226"/>
      <c r="T108" s="235"/>
      <c r="U108" s="235"/>
      <c r="V108" s="226"/>
      <c r="W108" s="218"/>
      <c r="X108" s="224"/>
      <c r="Y108" s="218"/>
      <c r="Z108" s="219"/>
      <c r="AA108" s="226"/>
      <c r="AB108" s="227"/>
      <c r="AC108" s="226"/>
      <c r="AD108" s="228"/>
      <c r="AE108" s="226"/>
      <c r="AF108" s="229"/>
      <c r="AG108" s="230"/>
      <c r="AH108" s="231"/>
      <c r="AI108" s="231"/>
      <c r="AJ108" s="231"/>
      <c r="AK108" s="150"/>
    </row>
    <row r="109" spans="2:37" x14ac:dyDescent="0.2">
      <c r="B109" s="214" t="s">
        <v>281</v>
      </c>
      <c r="C109" s="214" t="s">
        <v>287</v>
      </c>
      <c r="D109" s="232" t="s">
        <v>293</v>
      </c>
      <c r="E109" s="216" t="s">
        <v>527</v>
      </c>
      <c r="F109" s="217"/>
      <c r="G109" s="218"/>
      <c r="H109" s="218"/>
      <c r="I109" s="220"/>
      <c r="J109" s="220"/>
      <c r="K109" s="219"/>
      <c r="L109" s="221"/>
      <c r="M109" s="221"/>
      <c r="N109" s="222"/>
      <c r="O109" s="221"/>
      <c r="P109" s="223"/>
      <c r="Q109" s="221"/>
      <c r="R109" s="225"/>
      <c r="S109" s="226"/>
      <c r="T109" s="235"/>
      <c r="U109" s="235"/>
      <c r="V109" s="226"/>
      <c r="W109" s="218"/>
      <c r="X109" s="224"/>
      <c r="Y109" s="218"/>
      <c r="Z109" s="222"/>
      <c r="AA109" s="235"/>
      <c r="AB109" s="236"/>
      <c r="AC109" s="226"/>
      <c r="AD109" s="228"/>
      <c r="AE109" s="226"/>
      <c r="AF109" s="229"/>
      <c r="AG109" s="230"/>
      <c r="AH109" s="231"/>
      <c r="AI109" s="231"/>
      <c r="AJ109" s="231"/>
      <c r="AK109" s="150"/>
    </row>
    <row r="110" spans="2:37" x14ac:dyDescent="0.2">
      <c r="B110" s="214" t="s">
        <v>281</v>
      </c>
      <c r="C110" s="214" t="s">
        <v>294</v>
      </c>
      <c r="D110" s="232" t="s">
        <v>295</v>
      </c>
      <c r="E110" s="216" t="s">
        <v>83</v>
      </c>
      <c r="F110" s="217"/>
      <c r="G110" s="218"/>
      <c r="H110" s="218"/>
      <c r="I110" s="220"/>
      <c r="J110" s="220"/>
      <c r="K110" s="219"/>
      <c r="L110" s="221"/>
      <c r="M110" s="221"/>
      <c r="N110" s="222"/>
      <c r="O110" s="221"/>
      <c r="P110" s="223"/>
      <c r="Q110" s="221"/>
      <c r="R110" s="225"/>
      <c r="S110" s="226"/>
      <c r="T110" s="235"/>
      <c r="U110" s="235"/>
      <c r="V110" s="226"/>
      <c r="W110" s="218"/>
      <c r="X110" s="224"/>
      <c r="Y110" s="218"/>
      <c r="Z110" s="219"/>
      <c r="AA110" s="226"/>
      <c r="AB110" s="227"/>
      <c r="AC110" s="226"/>
      <c r="AD110" s="228"/>
      <c r="AE110" s="226"/>
      <c r="AF110" s="237"/>
      <c r="AG110" s="230"/>
      <c r="AH110" s="231"/>
      <c r="AI110" s="231"/>
      <c r="AJ110" s="239"/>
      <c r="AK110" s="150"/>
    </row>
    <row r="111" spans="2:37" x14ac:dyDescent="0.2">
      <c r="B111" s="214" t="s">
        <v>281</v>
      </c>
      <c r="C111" s="214" t="s">
        <v>294</v>
      </c>
      <c r="D111" s="232" t="s">
        <v>296</v>
      </c>
      <c r="E111" s="216" t="s">
        <v>83</v>
      </c>
      <c r="F111" s="217"/>
      <c r="G111" s="218"/>
      <c r="H111" s="218"/>
      <c r="I111" s="220"/>
      <c r="J111" s="220"/>
      <c r="K111" s="219"/>
      <c r="L111" s="221"/>
      <c r="M111" s="221"/>
      <c r="N111" s="222"/>
      <c r="O111" s="221"/>
      <c r="P111" s="223"/>
      <c r="Q111" s="221"/>
      <c r="R111" s="225"/>
      <c r="S111" s="226"/>
      <c r="T111" s="235"/>
      <c r="U111" s="235"/>
      <c r="V111" s="226"/>
      <c r="W111" s="218"/>
      <c r="X111" s="224"/>
      <c r="Y111" s="218"/>
      <c r="Z111" s="219"/>
      <c r="AA111" s="226"/>
      <c r="AB111" s="227"/>
      <c r="AC111" s="226"/>
      <c r="AD111" s="228"/>
      <c r="AE111" s="226"/>
      <c r="AF111" s="237"/>
      <c r="AG111" s="238"/>
      <c r="AH111" s="239"/>
      <c r="AI111" s="239"/>
      <c r="AJ111" s="239"/>
      <c r="AK111" s="150"/>
    </row>
    <row r="112" spans="2:37" x14ac:dyDescent="0.2">
      <c r="B112" s="214" t="s">
        <v>281</v>
      </c>
      <c r="C112" s="214" t="s">
        <v>294</v>
      </c>
      <c r="D112" s="232" t="s">
        <v>297</v>
      </c>
      <c r="E112" s="216" t="s">
        <v>527</v>
      </c>
      <c r="F112" s="217"/>
      <c r="G112" s="218"/>
      <c r="H112" s="220"/>
      <c r="I112" s="220"/>
      <c r="J112" s="220"/>
      <c r="K112" s="222"/>
      <c r="L112" s="221"/>
      <c r="M112" s="221"/>
      <c r="N112" s="222"/>
      <c r="O112" s="221"/>
      <c r="P112" s="223"/>
      <c r="Q112" s="221"/>
      <c r="R112" s="225"/>
      <c r="S112" s="226"/>
      <c r="T112" s="235"/>
      <c r="U112" s="235"/>
      <c r="V112" s="226"/>
      <c r="W112" s="218"/>
      <c r="X112" s="224"/>
      <c r="Y112" s="218"/>
      <c r="Z112" s="219"/>
      <c r="AA112" s="226"/>
      <c r="AB112" s="227"/>
      <c r="AC112" s="226"/>
      <c r="AD112" s="228"/>
      <c r="AE112" s="226"/>
      <c r="AF112" s="237"/>
      <c r="AG112" s="230"/>
      <c r="AH112" s="231"/>
      <c r="AI112" s="231"/>
      <c r="AJ112" s="239"/>
      <c r="AK112" s="150"/>
    </row>
    <row r="113" spans="2:37" ht="14.25" customHeight="1" x14ac:dyDescent="0.2">
      <c r="B113" s="214" t="s">
        <v>281</v>
      </c>
      <c r="C113" s="214" t="s">
        <v>294</v>
      </c>
      <c r="D113" s="215" t="s">
        <v>299</v>
      </c>
      <c r="E113" s="216" t="s">
        <v>527</v>
      </c>
      <c r="F113" s="217"/>
      <c r="G113" s="218"/>
      <c r="H113" s="218"/>
      <c r="I113" s="220"/>
      <c r="J113" s="220"/>
      <c r="K113" s="219"/>
      <c r="L113" s="221"/>
      <c r="M113" s="221"/>
      <c r="N113" s="222"/>
      <c r="O113" s="224"/>
      <c r="P113" s="223"/>
      <c r="Q113" s="224"/>
      <c r="R113" s="225"/>
      <c r="S113" s="235"/>
      <c r="T113" s="235"/>
      <c r="U113" s="235"/>
      <c r="V113" s="235"/>
      <c r="W113" s="220"/>
      <c r="X113" s="221"/>
      <c r="Y113" s="220"/>
      <c r="Z113" s="222"/>
      <c r="AA113" s="235"/>
      <c r="AB113" s="227"/>
      <c r="AC113" s="226"/>
      <c r="AD113" s="223"/>
      <c r="AE113" s="235"/>
      <c r="AF113" s="237"/>
      <c r="AG113" s="238"/>
      <c r="AH113" s="239"/>
      <c r="AI113" s="239"/>
      <c r="AJ113" s="239"/>
      <c r="AK113" s="172"/>
    </row>
    <row r="114" spans="2:37" x14ac:dyDescent="0.2">
      <c r="B114" s="214" t="s">
        <v>281</v>
      </c>
      <c r="C114" s="214" t="s">
        <v>294</v>
      </c>
      <c r="D114" s="215" t="s">
        <v>300</v>
      </c>
      <c r="E114" s="216" t="s">
        <v>83</v>
      </c>
      <c r="F114" s="217"/>
      <c r="G114" s="218"/>
      <c r="H114" s="218"/>
      <c r="I114" s="220"/>
      <c r="J114" s="220"/>
      <c r="K114" s="219"/>
      <c r="L114" s="221"/>
      <c r="M114" s="221"/>
      <c r="N114" s="222"/>
      <c r="O114" s="221"/>
      <c r="P114" s="223"/>
      <c r="Q114" s="221"/>
      <c r="R114" s="225"/>
      <c r="S114" s="226"/>
      <c r="T114" s="235"/>
      <c r="U114" s="235"/>
      <c r="V114" s="226"/>
      <c r="W114" s="220"/>
      <c r="X114" s="224"/>
      <c r="Y114" s="220"/>
      <c r="Z114" s="219"/>
      <c r="AA114" s="226"/>
      <c r="AB114" s="227"/>
      <c r="AC114" s="226"/>
      <c r="AD114" s="228"/>
      <c r="AE114" s="226"/>
      <c r="AF114" s="237"/>
      <c r="AG114" s="230"/>
      <c r="AH114" s="231"/>
      <c r="AI114" s="231"/>
      <c r="AJ114" s="239"/>
      <c r="AK114" s="150"/>
    </row>
    <row r="115" spans="2:37" x14ac:dyDescent="0.2">
      <c r="B115" s="214" t="s">
        <v>281</v>
      </c>
      <c r="C115" s="214" t="s">
        <v>294</v>
      </c>
      <c r="D115" s="215" t="s">
        <v>301</v>
      </c>
      <c r="E115" s="216" t="s">
        <v>83</v>
      </c>
      <c r="F115" s="217"/>
      <c r="G115" s="218"/>
      <c r="H115" s="218"/>
      <c r="I115" s="220"/>
      <c r="J115" s="220"/>
      <c r="K115" s="219"/>
      <c r="L115" s="221"/>
      <c r="M115" s="221"/>
      <c r="N115" s="222"/>
      <c r="O115" s="221"/>
      <c r="P115" s="223"/>
      <c r="Q115" s="221"/>
      <c r="R115" s="225"/>
      <c r="S115" s="226"/>
      <c r="T115" s="235"/>
      <c r="U115" s="235"/>
      <c r="V115" s="226"/>
      <c r="W115" s="218"/>
      <c r="X115" s="224"/>
      <c r="Y115" s="218"/>
      <c r="Z115" s="219"/>
      <c r="AA115" s="226"/>
      <c r="AB115" s="227"/>
      <c r="AC115" s="226"/>
      <c r="AD115" s="228"/>
      <c r="AE115" s="226"/>
      <c r="AF115" s="237"/>
      <c r="AG115" s="238"/>
      <c r="AH115" s="239"/>
      <c r="AI115" s="239"/>
      <c r="AJ115" s="239"/>
      <c r="AK115" s="150"/>
    </row>
    <row r="116" spans="2:37" x14ac:dyDescent="0.2">
      <c r="B116" s="214" t="s">
        <v>281</v>
      </c>
      <c r="C116" s="214" t="s">
        <v>294</v>
      </c>
      <c r="D116" s="215" t="s">
        <v>302</v>
      </c>
      <c r="E116" s="216" t="s">
        <v>532</v>
      </c>
      <c r="F116" s="217"/>
      <c r="G116" s="218"/>
      <c r="H116" s="218"/>
      <c r="I116" s="220"/>
      <c r="J116" s="220"/>
      <c r="K116" s="219"/>
      <c r="L116" s="221"/>
      <c r="M116" s="221"/>
      <c r="N116" s="219"/>
      <c r="O116" s="224"/>
      <c r="P116" s="223"/>
      <c r="Q116" s="224"/>
      <c r="R116" s="225"/>
      <c r="S116" s="226"/>
      <c r="T116" s="235"/>
      <c r="U116" s="235"/>
      <c r="V116" s="226"/>
      <c r="W116" s="218"/>
      <c r="X116" s="224"/>
      <c r="Y116" s="218"/>
      <c r="Z116" s="219"/>
      <c r="AA116" s="226"/>
      <c r="AB116" s="227"/>
      <c r="AC116" s="226"/>
      <c r="AD116" s="228"/>
      <c r="AE116" s="226"/>
      <c r="AF116" s="229"/>
      <c r="AG116" s="230"/>
      <c r="AH116" s="231"/>
      <c r="AI116" s="231"/>
      <c r="AJ116" s="231"/>
      <c r="AK116" s="150"/>
    </row>
    <row r="117" spans="2:37" x14ac:dyDescent="0.2">
      <c r="B117" s="214" t="s">
        <v>281</v>
      </c>
      <c r="C117" s="214" t="s">
        <v>303</v>
      </c>
      <c r="D117" s="215" t="s">
        <v>304</v>
      </c>
      <c r="E117" s="216" t="s">
        <v>527</v>
      </c>
      <c r="F117" s="217"/>
      <c r="G117" s="218"/>
      <c r="H117" s="218"/>
      <c r="I117" s="220"/>
      <c r="J117" s="220"/>
      <c r="K117" s="219"/>
      <c r="L117" s="221"/>
      <c r="M117" s="221"/>
      <c r="N117" s="222"/>
      <c r="O117" s="221"/>
      <c r="P117" s="223"/>
      <c r="Q117" s="221"/>
      <c r="R117" s="225"/>
      <c r="S117" s="226"/>
      <c r="T117" s="235"/>
      <c r="U117" s="235"/>
      <c r="V117" s="226"/>
      <c r="W117" s="218"/>
      <c r="X117" s="224"/>
      <c r="Y117" s="218"/>
      <c r="Z117" s="219"/>
      <c r="AA117" s="226"/>
      <c r="AB117" s="227"/>
      <c r="AC117" s="226"/>
      <c r="AD117" s="228"/>
      <c r="AE117" s="226"/>
      <c r="AF117" s="237"/>
      <c r="AG117" s="238"/>
      <c r="AH117" s="239"/>
      <c r="AI117" s="239"/>
      <c r="AJ117" s="239"/>
      <c r="AK117" s="150"/>
    </row>
    <row r="118" spans="2:37" x14ac:dyDescent="0.2">
      <c r="B118" s="214" t="s">
        <v>281</v>
      </c>
      <c r="C118" s="214" t="s">
        <v>305</v>
      </c>
      <c r="D118" s="215" t="s">
        <v>306</v>
      </c>
      <c r="E118" s="216" t="s">
        <v>307</v>
      </c>
      <c r="F118" s="233"/>
      <c r="G118" s="218"/>
      <c r="H118" s="220"/>
      <c r="I118" s="220"/>
      <c r="J118" s="220"/>
      <c r="K118" s="222"/>
      <c r="L118" s="221"/>
      <c r="M118" s="221"/>
      <c r="N118" s="222"/>
      <c r="O118" s="221"/>
      <c r="P118" s="223"/>
      <c r="Q118" s="221"/>
      <c r="R118" s="225"/>
      <c r="S118" s="235"/>
      <c r="T118" s="235"/>
      <c r="U118" s="235"/>
      <c r="V118" s="235"/>
      <c r="W118" s="220"/>
      <c r="X118" s="221"/>
      <c r="Y118" s="220"/>
      <c r="Z118" s="222"/>
      <c r="AA118" s="235"/>
      <c r="AB118" s="227"/>
      <c r="AC118" s="226"/>
      <c r="AD118" s="228"/>
      <c r="AE118" s="226"/>
      <c r="AF118" s="237"/>
      <c r="AG118" s="238"/>
      <c r="AH118" s="239"/>
      <c r="AI118" s="239"/>
      <c r="AJ118" s="239"/>
      <c r="AK118" s="150"/>
    </row>
    <row r="119" spans="2:37" x14ac:dyDescent="0.2">
      <c r="B119" s="214" t="s">
        <v>309</v>
      </c>
      <c r="C119" s="214" t="s">
        <v>310</v>
      </c>
      <c r="D119" s="215" t="s">
        <v>575</v>
      </c>
      <c r="E119" s="216" t="s">
        <v>527</v>
      </c>
      <c r="F119" s="233"/>
      <c r="G119" s="218"/>
      <c r="H119" s="218"/>
      <c r="I119" s="220"/>
      <c r="J119" s="220"/>
      <c r="K119" s="219"/>
      <c r="L119" s="221"/>
      <c r="M119" s="224"/>
      <c r="N119" s="219"/>
      <c r="O119" s="224"/>
      <c r="P119" s="228"/>
      <c r="Q119" s="224"/>
      <c r="R119" s="234"/>
      <c r="S119" s="235"/>
      <c r="T119" s="235"/>
      <c r="U119" s="235"/>
      <c r="V119" s="235"/>
      <c r="W119" s="220"/>
      <c r="X119" s="221"/>
      <c r="Y119" s="220"/>
      <c r="Z119" s="222"/>
      <c r="AA119" s="235"/>
      <c r="AB119" s="236"/>
      <c r="AC119" s="226"/>
      <c r="AD119" s="223"/>
      <c r="AE119" s="235"/>
      <c r="AF119" s="237"/>
      <c r="AG119" s="238"/>
      <c r="AH119" s="239"/>
      <c r="AI119" s="239"/>
      <c r="AJ119" s="239"/>
      <c r="AK119" s="168"/>
    </row>
    <row r="120" spans="2:37" x14ac:dyDescent="0.2">
      <c r="B120" s="214" t="s">
        <v>309</v>
      </c>
      <c r="C120" s="214" t="s">
        <v>310</v>
      </c>
      <c r="D120" s="232" t="s">
        <v>312</v>
      </c>
      <c r="E120" s="216" t="s">
        <v>66</v>
      </c>
      <c r="F120" s="233"/>
      <c r="G120" s="218"/>
      <c r="H120" s="220"/>
      <c r="I120" s="220"/>
      <c r="J120" s="220"/>
      <c r="K120" s="222"/>
      <c r="L120" s="221"/>
      <c r="M120" s="221"/>
      <c r="N120" s="222"/>
      <c r="O120" s="221"/>
      <c r="P120" s="223"/>
      <c r="Q120" s="221"/>
      <c r="R120" s="234"/>
      <c r="S120" s="235"/>
      <c r="T120" s="235"/>
      <c r="U120" s="235"/>
      <c r="V120" s="235"/>
      <c r="W120" s="220"/>
      <c r="X120" s="221"/>
      <c r="Y120" s="220"/>
      <c r="Z120" s="222"/>
      <c r="AA120" s="235"/>
      <c r="AB120" s="236"/>
      <c r="AC120" s="226"/>
      <c r="AD120" s="223"/>
      <c r="AE120" s="235"/>
      <c r="AF120" s="237"/>
      <c r="AG120" s="238"/>
      <c r="AH120" s="239"/>
      <c r="AI120" s="239"/>
      <c r="AJ120" s="239"/>
      <c r="AK120" s="150"/>
    </row>
    <row r="121" spans="2:37" x14ac:dyDescent="0.2">
      <c r="B121" s="214" t="s">
        <v>309</v>
      </c>
      <c r="C121" s="214" t="s">
        <v>310</v>
      </c>
      <c r="D121" s="215" t="s">
        <v>313</v>
      </c>
      <c r="E121" s="216" t="s">
        <v>83</v>
      </c>
      <c r="F121" s="217"/>
      <c r="G121" s="218"/>
      <c r="H121" s="218"/>
      <c r="I121" s="220"/>
      <c r="J121" s="220"/>
      <c r="K121" s="219"/>
      <c r="L121" s="221"/>
      <c r="M121" s="221"/>
      <c r="N121" s="222"/>
      <c r="O121" s="221"/>
      <c r="P121" s="223"/>
      <c r="Q121" s="224"/>
      <c r="R121" s="225"/>
      <c r="S121" s="235"/>
      <c r="T121" s="235"/>
      <c r="U121" s="235"/>
      <c r="V121" s="226"/>
      <c r="W121" s="218"/>
      <c r="X121" s="224"/>
      <c r="Y121" s="218"/>
      <c r="Z121" s="222"/>
      <c r="AA121" s="235"/>
      <c r="AB121" s="227"/>
      <c r="AC121" s="226"/>
      <c r="AD121" s="228"/>
      <c r="AE121" s="226"/>
      <c r="AF121" s="237"/>
      <c r="AG121" s="238"/>
      <c r="AH121" s="239"/>
      <c r="AI121" s="239"/>
      <c r="AJ121" s="239"/>
      <c r="AK121" s="150"/>
    </row>
    <row r="122" spans="2:37" ht="16.5" customHeight="1" x14ac:dyDescent="0.2">
      <c r="B122" s="214" t="s">
        <v>309</v>
      </c>
      <c r="C122" s="214" t="s">
        <v>310</v>
      </c>
      <c r="D122" s="244" t="s">
        <v>315</v>
      </c>
      <c r="E122" s="216" t="s">
        <v>83</v>
      </c>
      <c r="F122" s="217"/>
      <c r="G122" s="218"/>
      <c r="H122" s="218"/>
      <c r="I122" s="220"/>
      <c r="J122" s="220"/>
      <c r="K122" s="219"/>
      <c r="L122" s="221"/>
      <c r="M122" s="221"/>
      <c r="N122" s="222"/>
      <c r="O122" s="221"/>
      <c r="P122" s="223"/>
      <c r="Q122" s="224"/>
      <c r="R122" s="234"/>
      <c r="S122" s="235"/>
      <c r="T122" s="235"/>
      <c r="U122" s="235"/>
      <c r="V122" s="235"/>
      <c r="W122" s="220"/>
      <c r="X122" s="221"/>
      <c r="Y122" s="220"/>
      <c r="Z122" s="222"/>
      <c r="AA122" s="235"/>
      <c r="AB122" s="236"/>
      <c r="AC122" s="226"/>
      <c r="AD122" s="223"/>
      <c r="AE122" s="235"/>
      <c r="AF122" s="237"/>
      <c r="AG122" s="238"/>
      <c r="AH122" s="239"/>
      <c r="AI122" s="239"/>
      <c r="AJ122" s="239"/>
      <c r="AK122" s="150"/>
    </row>
    <row r="123" spans="2:37" ht="18.75" customHeight="1" x14ac:dyDescent="0.2">
      <c r="B123" s="214" t="s">
        <v>309</v>
      </c>
      <c r="C123" s="214" t="s">
        <v>310</v>
      </c>
      <c r="D123" s="215" t="s">
        <v>316</v>
      </c>
      <c r="E123" s="216" t="s">
        <v>83</v>
      </c>
      <c r="F123" s="217"/>
      <c r="G123" s="218"/>
      <c r="H123" s="218"/>
      <c r="I123" s="220"/>
      <c r="J123" s="220"/>
      <c r="K123" s="219"/>
      <c r="L123" s="221"/>
      <c r="M123" s="221"/>
      <c r="N123" s="222"/>
      <c r="O123" s="221"/>
      <c r="P123" s="223"/>
      <c r="Q123" s="224"/>
      <c r="R123" s="225"/>
      <c r="S123" s="226"/>
      <c r="T123" s="235"/>
      <c r="U123" s="235"/>
      <c r="V123" s="226"/>
      <c r="W123" s="218"/>
      <c r="X123" s="224"/>
      <c r="Y123" s="218"/>
      <c r="Z123" s="219"/>
      <c r="AA123" s="226"/>
      <c r="AB123" s="227"/>
      <c r="AC123" s="226"/>
      <c r="AD123" s="228"/>
      <c r="AE123" s="226"/>
      <c r="AF123" s="229"/>
      <c r="AG123" s="230"/>
      <c r="AH123" s="231"/>
      <c r="AI123" s="231"/>
      <c r="AJ123" s="231"/>
      <c r="AK123" s="150"/>
    </row>
    <row r="124" spans="2:37" ht="15" customHeight="1" x14ac:dyDescent="0.2">
      <c r="B124" s="214" t="s">
        <v>309</v>
      </c>
      <c r="C124" s="214" t="s">
        <v>310</v>
      </c>
      <c r="D124" s="232" t="s">
        <v>317</v>
      </c>
      <c r="E124" s="216" t="s">
        <v>83</v>
      </c>
      <c r="F124" s="233"/>
      <c r="G124" s="218"/>
      <c r="H124" s="220"/>
      <c r="I124" s="220"/>
      <c r="J124" s="220"/>
      <c r="K124" s="222"/>
      <c r="L124" s="221"/>
      <c r="M124" s="221"/>
      <c r="N124" s="222"/>
      <c r="O124" s="221"/>
      <c r="P124" s="223"/>
      <c r="Q124" s="221"/>
      <c r="R124" s="225"/>
      <c r="S124" s="235"/>
      <c r="T124" s="235"/>
      <c r="U124" s="235"/>
      <c r="V124" s="226"/>
      <c r="W124" s="245"/>
      <c r="X124" s="224"/>
      <c r="Y124" s="220"/>
      <c r="Z124" s="222"/>
      <c r="AA124" s="235"/>
      <c r="AB124" s="236"/>
      <c r="AC124" s="226"/>
      <c r="AD124" s="223"/>
      <c r="AE124" s="235"/>
      <c r="AF124" s="237"/>
      <c r="AG124" s="238"/>
      <c r="AH124" s="239"/>
      <c r="AI124" s="239"/>
      <c r="AJ124" s="239"/>
      <c r="AK124" s="150"/>
    </row>
    <row r="125" spans="2:37" ht="15" customHeight="1" x14ac:dyDescent="0.2">
      <c r="B125" s="214" t="s">
        <v>309</v>
      </c>
      <c r="C125" s="214" t="s">
        <v>310</v>
      </c>
      <c r="D125" s="232" t="s">
        <v>318</v>
      </c>
      <c r="E125" s="216" t="s">
        <v>66</v>
      </c>
      <c r="F125" s="233"/>
      <c r="G125" s="218"/>
      <c r="H125" s="220"/>
      <c r="I125" s="220"/>
      <c r="J125" s="220"/>
      <c r="K125" s="222"/>
      <c r="L125" s="221"/>
      <c r="M125" s="221"/>
      <c r="N125" s="222"/>
      <c r="O125" s="221"/>
      <c r="P125" s="223"/>
      <c r="Q125" s="221"/>
      <c r="R125" s="234"/>
      <c r="S125" s="235"/>
      <c r="T125" s="235"/>
      <c r="U125" s="235"/>
      <c r="V125" s="235"/>
      <c r="W125" s="220"/>
      <c r="X125" s="221"/>
      <c r="Y125" s="220"/>
      <c r="Z125" s="222"/>
      <c r="AA125" s="235"/>
      <c r="AB125" s="236"/>
      <c r="AC125" s="226"/>
      <c r="AD125" s="228"/>
      <c r="AE125" s="226"/>
      <c r="AF125" s="237"/>
      <c r="AG125" s="238"/>
      <c r="AH125" s="239"/>
      <c r="AI125" s="239"/>
      <c r="AJ125" s="239"/>
      <c r="AK125" s="150"/>
    </row>
    <row r="126" spans="2:37" ht="15" customHeight="1" x14ac:dyDescent="0.2">
      <c r="B126" s="214" t="s">
        <v>309</v>
      </c>
      <c r="C126" s="214" t="s">
        <v>319</v>
      </c>
      <c r="D126" s="232" t="s">
        <v>320</v>
      </c>
      <c r="E126" s="216" t="s">
        <v>533</v>
      </c>
      <c r="F126" s="233"/>
      <c r="G126" s="218"/>
      <c r="H126" s="218"/>
      <c r="I126" s="220"/>
      <c r="J126" s="220"/>
      <c r="K126" s="219"/>
      <c r="L126" s="221"/>
      <c r="M126" s="221"/>
      <c r="N126" s="222"/>
      <c r="O126" s="224"/>
      <c r="P126" s="223"/>
      <c r="Q126" s="221"/>
      <c r="R126" s="225"/>
      <c r="S126" s="235"/>
      <c r="T126" s="235"/>
      <c r="U126" s="235"/>
      <c r="V126" s="235"/>
      <c r="W126" s="220"/>
      <c r="X126" s="221"/>
      <c r="Y126" s="218"/>
      <c r="Z126" s="222"/>
      <c r="AA126" s="235"/>
      <c r="AB126" s="236"/>
      <c r="AC126" s="226"/>
      <c r="AD126" s="223"/>
      <c r="AE126" s="235"/>
      <c r="AF126" s="237"/>
      <c r="AG126" s="238"/>
      <c r="AH126" s="239"/>
      <c r="AI126" s="239"/>
      <c r="AJ126" s="239"/>
      <c r="AK126" s="150"/>
    </row>
    <row r="127" spans="2:37" x14ac:dyDescent="0.2">
      <c r="B127" s="214" t="s">
        <v>309</v>
      </c>
      <c r="C127" s="214" t="s">
        <v>321</v>
      </c>
      <c r="D127" s="215" t="s">
        <v>322</v>
      </c>
      <c r="E127" s="216" t="s">
        <v>527</v>
      </c>
      <c r="F127" s="217"/>
      <c r="G127" s="218"/>
      <c r="H127" s="218"/>
      <c r="I127" s="219"/>
      <c r="J127" s="218"/>
      <c r="K127" s="219"/>
      <c r="L127" s="221"/>
      <c r="M127" s="224"/>
      <c r="N127" s="219"/>
      <c r="O127" s="224"/>
      <c r="P127" s="228"/>
      <c r="Q127" s="224"/>
      <c r="R127" s="225"/>
      <c r="S127" s="226"/>
      <c r="T127" s="235"/>
      <c r="U127" s="235"/>
      <c r="V127" s="226"/>
      <c r="W127" s="218"/>
      <c r="X127" s="224"/>
      <c r="Y127" s="218"/>
      <c r="Z127" s="219"/>
      <c r="AA127" s="226"/>
      <c r="AB127" s="227"/>
      <c r="AC127" s="226"/>
      <c r="AD127" s="228"/>
      <c r="AE127" s="226"/>
      <c r="AF127" s="229"/>
      <c r="AG127" s="230"/>
      <c r="AH127" s="231"/>
      <c r="AI127" s="231"/>
      <c r="AJ127" s="231"/>
      <c r="AK127" s="168"/>
    </row>
    <row r="128" spans="2:37" x14ac:dyDescent="0.2">
      <c r="B128" s="214" t="s">
        <v>309</v>
      </c>
      <c r="C128" s="214" t="s">
        <v>321</v>
      </c>
      <c r="D128" s="215" t="s">
        <v>323</v>
      </c>
      <c r="E128" s="216" t="s">
        <v>527</v>
      </c>
      <c r="F128" s="217"/>
      <c r="G128" s="218"/>
      <c r="H128" s="220"/>
      <c r="I128" s="220"/>
      <c r="J128" s="220"/>
      <c r="K128" s="219"/>
      <c r="L128" s="221"/>
      <c r="M128" s="224"/>
      <c r="N128" s="219"/>
      <c r="O128" s="224"/>
      <c r="P128" s="228"/>
      <c r="Q128" s="224"/>
      <c r="R128" s="225"/>
      <c r="S128" s="226"/>
      <c r="T128" s="226"/>
      <c r="U128" s="226"/>
      <c r="V128" s="226"/>
      <c r="W128" s="218"/>
      <c r="X128" s="224"/>
      <c r="Y128" s="218"/>
      <c r="Z128" s="219"/>
      <c r="AA128" s="226"/>
      <c r="AB128" s="227"/>
      <c r="AC128" s="226"/>
      <c r="AD128" s="228"/>
      <c r="AE128" s="226"/>
      <c r="AF128" s="229"/>
      <c r="AG128" s="230"/>
      <c r="AH128" s="231"/>
      <c r="AI128" s="231"/>
      <c r="AJ128" s="231"/>
      <c r="AK128" s="150"/>
    </row>
    <row r="129" spans="2:37" x14ac:dyDescent="0.2">
      <c r="B129" s="214" t="s">
        <v>309</v>
      </c>
      <c r="C129" s="214" t="s">
        <v>321</v>
      </c>
      <c r="D129" s="215" t="s">
        <v>324</v>
      </c>
      <c r="E129" s="216" t="s">
        <v>527</v>
      </c>
      <c r="F129" s="217"/>
      <c r="G129" s="218"/>
      <c r="H129" s="218"/>
      <c r="I129" s="219"/>
      <c r="J129" s="218"/>
      <c r="K129" s="219"/>
      <c r="L129" s="221"/>
      <c r="M129" s="221"/>
      <c r="N129" s="222"/>
      <c r="O129" s="224"/>
      <c r="P129" s="228"/>
      <c r="Q129" s="224"/>
      <c r="R129" s="225"/>
      <c r="S129" s="226"/>
      <c r="T129" s="235"/>
      <c r="U129" s="235"/>
      <c r="V129" s="226"/>
      <c r="W129" s="218"/>
      <c r="X129" s="224"/>
      <c r="Y129" s="218"/>
      <c r="Z129" s="219"/>
      <c r="AA129" s="226"/>
      <c r="AB129" s="227"/>
      <c r="AC129" s="226"/>
      <c r="AD129" s="228"/>
      <c r="AE129" s="226"/>
      <c r="AF129" s="237"/>
      <c r="AG129" s="238"/>
      <c r="AH129" s="231"/>
      <c r="AI129" s="231"/>
      <c r="AJ129" s="239"/>
      <c r="AK129" s="150"/>
    </row>
    <row r="130" spans="2:37" x14ac:dyDescent="0.2">
      <c r="B130" s="214" t="s">
        <v>309</v>
      </c>
      <c r="C130" s="214" t="s">
        <v>321</v>
      </c>
      <c r="D130" s="215" t="s">
        <v>325</v>
      </c>
      <c r="E130" s="216" t="s">
        <v>83</v>
      </c>
      <c r="F130" s="217"/>
      <c r="G130" s="218"/>
      <c r="H130" s="218"/>
      <c r="I130" s="219"/>
      <c r="J130" s="218"/>
      <c r="K130" s="219"/>
      <c r="L130" s="221"/>
      <c r="M130" s="224"/>
      <c r="N130" s="219"/>
      <c r="O130" s="224"/>
      <c r="P130" s="228"/>
      <c r="Q130" s="224"/>
      <c r="R130" s="225"/>
      <c r="S130" s="226"/>
      <c r="T130" s="226"/>
      <c r="U130" s="226"/>
      <c r="V130" s="226"/>
      <c r="W130" s="218"/>
      <c r="X130" s="224"/>
      <c r="Y130" s="218"/>
      <c r="Z130" s="219"/>
      <c r="AA130" s="226"/>
      <c r="AB130" s="227"/>
      <c r="AC130" s="226"/>
      <c r="AD130" s="228"/>
      <c r="AE130" s="226"/>
      <c r="AF130" s="229"/>
      <c r="AG130" s="230"/>
      <c r="AH130" s="231"/>
      <c r="AI130" s="231"/>
      <c r="AJ130" s="231"/>
      <c r="AK130" s="150"/>
    </row>
    <row r="131" spans="2:37" x14ac:dyDescent="0.2">
      <c r="B131" s="214" t="s">
        <v>309</v>
      </c>
      <c r="C131" s="214" t="s">
        <v>321</v>
      </c>
      <c r="D131" s="215" t="s">
        <v>326</v>
      </c>
      <c r="E131" s="216" t="s">
        <v>83</v>
      </c>
      <c r="F131" s="217"/>
      <c r="G131" s="218"/>
      <c r="H131" s="218"/>
      <c r="I131" s="220"/>
      <c r="J131" s="220"/>
      <c r="K131" s="219"/>
      <c r="L131" s="221"/>
      <c r="M131" s="221"/>
      <c r="N131" s="222"/>
      <c r="O131" s="221"/>
      <c r="P131" s="228"/>
      <c r="Q131" s="224"/>
      <c r="R131" s="225"/>
      <c r="S131" s="226"/>
      <c r="T131" s="226"/>
      <c r="U131" s="226"/>
      <c r="V131" s="226"/>
      <c r="W131" s="218"/>
      <c r="X131" s="224"/>
      <c r="Y131" s="218"/>
      <c r="Z131" s="219"/>
      <c r="AA131" s="226"/>
      <c r="AB131" s="227"/>
      <c r="AC131" s="226"/>
      <c r="AD131" s="228"/>
      <c r="AE131" s="226"/>
      <c r="AF131" s="229"/>
      <c r="AG131" s="230"/>
      <c r="AH131" s="231"/>
      <c r="AI131" s="231"/>
      <c r="AJ131" s="231"/>
      <c r="AK131" s="150"/>
    </row>
    <row r="132" spans="2:37" x14ac:dyDescent="0.2">
      <c r="B132" s="214" t="s">
        <v>309</v>
      </c>
      <c r="C132" s="214" t="s">
        <v>321</v>
      </c>
      <c r="D132" s="215" t="s">
        <v>327</v>
      </c>
      <c r="E132" s="216" t="s">
        <v>527</v>
      </c>
      <c r="F132" s="217"/>
      <c r="G132" s="218"/>
      <c r="H132" s="218"/>
      <c r="I132" s="219"/>
      <c r="J132" s="218"/>
      <c r="K132" s="219"/>
      <c r="L132" s="221"/>
      <c r="M132" s="221"/>
      <c r="N132" s="222"/>
      <c r="O132" s="224"/>
      <c r="P132" s="223"/>
      <c r="Q132" s="224"/>
      <c r="R132" s="225"/>
      <c r="S132" s="226"/>
      <c r="T132" s="235"/>
      <c r="U132" s="235"/>
      <c r="V132" s="226"/>
      <c r="W132" s="218"/>
      <c r="X132" s="224"/>
      <c r="Y132" s="218"/>
      <c r="Z132" s="219"/>
      <c r="AA132" s="226"/>
      <c r="AB132" s="227"/>
      <c r="AC132" s="226"/>
      <c r="AD132" s="228"/>
      <c r="AE132" s="226"/>
      <c r="AF132" s="229"/>
      <c r="AG132" s="230"/>
      <c r="AH132" s="231"/>
      <c r="AI132" s="231"/>
      <c r="AJ132" s="231"/>
      <c r="AK132" s="150"/>
    </row>
    <row r="133" spans="2:37" x14ac:dyDescent="0.2">
      <c r="B133" s="214" t="s">
        <v>309</v>
      </c>
      <c r="C133" s="214" t="s">
        <v>328</v>
      </c>
      <c r="D133" s="215" t="s">
        <v>329</v>
      </c>
      <c r="E133" s="216" t="s">
        <v>113</v>
      </c>
      <c r="F133" s="233"/>
      <c r="G133" s="218"/>
      <c r="H133" s="218"/>
      <c r="I133" s="220"/>
      <c r="J133" s="220"/>
      <c r="K133" s="219"/>
      <c r="L133" s="221"/>
      <c r="M133" s="221"/>
      <c r="N133" s="222"/>
      <c r="O133" s="221"/>
      <c r="P133" s="223"/>
      <c r="Q133" s="221"/>
      <c r="R133" s="225"/>
      <c r="S133" s="226"/>
      <c r="T133" s="226"/>
      <c r="U133" s="226"/>
      <c r="V133" s="226"/>
      <c r="W133" s="218"/>
      <c r="X133" s="224"/>
      <c r="Y133" s="218"/>
      <c r="Z133" s="219"/>
      <c r="AA133" s="226"/>
      <c r="AB133" s="227"/>
      <c r="AC133" s="226"/>
      <c r="AD133" s="228"/>
      <c r="AE133" s="226"/>
      <c r="AF133" s="237"/>
      <c r="AG133" s="238"/>
      <c r="AH133" s="231"/>
      <c r="AI133" s="231"/>
      <c r="AJ133" s="239"/>
      <c r="AK133" s="150"/>
    </row>
    <row r="134" spans="2:37" x14ac:dyDescent="0.2">
      <c r="B134" s="214" t="s">
        <v>309</v>
      </c>
      <c r="C134" s="214" t="s">
        <v>328</v>
      </c>
      <c r="D134" s="215" t="s">
        <v>331</v>
      </c>
      <c r="E134" s="216" t="s">
        <v>135</v>
      </c>
      <c r="F134" s="233"/>
      <c r="G134" s="218"/>
      <c r="H134" s="218"/>
      <c r="I134" s="220"/>
      <c r="J134" s="220"/>
      <c r="K134" s="219"/>
      <c r="L134" s="221"/>
      <c r="M134" s="221"/>
      <c r="N134" s="222"/>
      <c r="O134" s="221"/>
      <c r="P134" s="223"/>
      <c r="Q134" s="221"/>
      <c r="R134" s="225"/>
      <c r="S134" s="226"/>
      <c r="T134" s="235"/>
      <c r="U134" s="235"/>
      <c r="V134" s="226"/>
      <c r="W134" s="218"/>
      <c r="X134" s="224"/>
      <c r="Y134" s="218"/>
      <c r="Z134" s="219"/>
      <c r="AA134" s="226"/>
      <c r="AB134" s="227"/>
      <c r="AC134" s="226"/>
      <c r="AD134" s="228"/>
      <c r="AE134" s="226"/>
      <c r="AF134" s="229"/>
      <c r="AG134" s="230"/>
      <c r="AH134" s="231"/>
      <c r="AI134" s="231"/>
      <c r="AJ134" s="231"/>
      <c r="AK134" s="150"/>
    </row>
    <row r="135" spans="2:37" x14ac:dyDescent="0.2">
      <c r="B135" s="214" t="s">
        <v>309</v>
      </c>
      <c r="C135" s="214" t="s">
        <v>328</v>
      </c>
      <c r="D135" s="215" t="s">
        <v>332</v>
      </c>
      <c r="E135" s="216" t="s">
        <v>79</v>
      </c>
      <c r="F135" s="233"/>
      <c r="G135" s="218"/>
      <c r="H135" s="218"/>
      <c r="I135" s="220"/>
      <c r="J135" s="220"/>
      <c r="K135" s="219"/>
      <c r="L135" s="221"/>
      <c r="M135" s="221"/>
      <c r="N135" s="222"/>
      <c r="O135" s="221"/>
      <c r="P135" s="223"/>
      <c r="Q135" s="224"/>
      <c r="R135" s="225"/>
      <c r="S135" s="235"/>
      <c r="T135" s="235"/>
      <c r="U135" s="235"/>
      <c r="V135" s="226"/>
      <c r="W135" s="218"/>
      <c r="X135" s="224"/>
      <c r="Y135" s="218"/>
      <c r="Z135" s="222"/>
      <c r="AA135" s="235"/>
      <c r="AB135" s="227"/>
      <c r="AC135" s="226"/>
      <c r="AD135" s="228"/>
      <c r="AE135" s="226"/>
      <c r="AF135" s="240"/>
      <c r="AG135" s="230"/>
      <c r="AH135" s="231"/>
      <c r="AI135" s="231"/>
      <c r="AJ135" s="231"/>
      <c r="AK135" s="150"/>
    </row>
    <row r="136" spans="2:37" x14ac:dyDescent="0.2">
      <c r="B136" s="214" t="s">
        <v>309</v>
      </c>
      <c r="C136" s="214" t="s">
        <v>328</v>
      </c>
      <c r="D136" s="215" t="s">
        <v>333</v>
      </c>
      <c r="E136" s="216" t="s">
        <v>135</v>
      </c>
      <c r="F136" s="217"/>
      <c r="G136" s="218"/>
      <c r="H136" s="218"/>
      <c r="I136" s="220"/>
      <c r="J136" s="220"/>
      <c r="K136" s="219"/>
      <c r="L136" s="221"/>
      <c r="M136" s="221"/>
      <c r="N136" s="222"/>
      <c r="O136" s="221"/>
      <c r="P136" s="223"/>
      <c r="Q136" s="221"/>
      <c r="R136" s="234"/>
      <c r="S136" s="235"/>
      <c r="T136" s="235"/>
      <c r="U136" s="235"/>
      <c r="V136" s="235"/>
      <c r="W136" s="220"/>
      <c r="X136" s="221"/>
      <c r="Y136" s="220"/>
      <c r="Z136" s="222"/>
      <c r="AA136" s="235"/>
      <c r="AB136" s="236"/>
      <c r="AC136" s="226"/>
      <c r="AD136" s="223"/>
      <c r="AE136" s="235"/>
      <c r="AF136" s="237"/>
      <c r="AG136" s="238"/>
      <c r="AH136" s="239"/>
      <c r="AI136" s="239"/>
      <c r="AJ136" s="239"/>
      <c r="AK136" s="150"/>
    </row>
    <row r="137" spans="2:37" x14ac:dyDescent="0.2">
      <c r="B137" s="214" t="s">
        <v>309</v>
      </c>
      <c r="C137" s="214" t="s">
        <v>328</v>
      </c>
      <c r="D137" s="232" t="s">
        <v>334</v>
      </c>
      <c r="E137" s="216" t="s">
        <v>79</v>
      </c>
      <c r="F137" s="233"/>
      <c r="G137" s="218"/>
      <c r="H137" s="220"/>
      <c r="I137" s="220"/>
      <c r="J137" s="220"/>
      <c r="K137" s="222"/>
      <c r="L137" s="221"/>
      <c r="M137" s="221"/>
      <c r="N137" s="222"/>
      <c r="O137" s="221"/>
      <c r="P137" s="223"/>
      <c r="Q137" s="221"/>
      <c r="R137" s="225"/>
      <c r="S137" s="235"/>
      <c r="T137" s="235"/>
      <c r="U137" s="235"/>
      <c r="V137" s="226"/>
      <c r="W137" s="218"/>
      <c r="X137" s="224"/>
      <c r="Y137" s="218"/>
      <c r="Z137" s="222"/>
      <c r="AA137" s="235"/>
      <c r="AB137" s="236"/>
      <c r="AC137" s="226"/>
      <c r="AD137" s="228"/>
      <c r="AE137" s="226"/>
      <c r="AF137" s="237"/>
      <c r="AG137" s="238"/>
      <c r="AH137" s="239"/>
      <c r="AI137" s="239"/>
      <c r="AJ137" s="239"/>
      <c r="AK137" s="150"/>
    </row>
    <row r="138" spans="2:37" x14ac:dyDescent="0.2">
      <c r="B138" s="214" t="s">
        <v>309</v>
      </c>
      <c r="C138" s="214" t="s">
        <v>328</v>
      </c>
      <c r="D138" s="215" t="s">
        <v>336</v>
      </c>
      <c r="E138" s="216" t="s">
        <v>527</v>
      </c>
      <c r="F138" s="233"/>
      <c r="G138" s="218"/>
      <c r="H138" s="218"/>
      <c r="I138" s="220"/>
      <c r="J138" s="220"/>
      <c r="K138" s="219"/>
      <c r="L138" s="221"/>
      <c r="M138" s="221"/>
      <c r="N138" s="222"/>
      <c r="O138" s="221"/>
      <c r="P138" s="223"/>
      <c r="Q138" s="221"/>
      <c r="R138" s="225"/>
      <c r="S138" s="226"/>
      <c r="T138" s="235"/>
      <c r="U138" s="235"/>
      <c r="V138" s="226"/>
      <c r="W138" s="218"/>
      <c r="X138" s="224"/>
      <c r="Y138" s="218"/>
      <c r="Z138" s="219"/>
      <c r="AA138" s="226"/>
      <c r="AB138" s="227"/>
      <c r="AC138" s="226"/>
      <c r="AD138" s="228"/>
      <c r="AE138" s="226"/>
      <c r="AF138" s="229"/>
      <c r="AG138" s="230"/>
      <c r="AH138" s="231"/>
      <c r="AI138" s="231"/>
      <c r="AJ138" s="231"/>
      <c r="AK138" s="150"/>
    </row>
    <row r="139" spans="2:37" x14ac:dyDescent="0.2">
      <c r="B139" s="214" t="s">
        <v>309</v>
      </c>
      <c r="C139" s="214" t="s">
        <v>328</v>
      </c>
      <c r="D139" s="215" t="s">
        <v>337</v>
      </c>
      <c r="E139" s="216" t="s">
        <v>79</v>
      </c>
      <c r="F139" s="233"/>
      <c r="G139" s="218"/>
      <c r="H139" s="220"/>
      <c r="I139" s="220"/>
      <c r="J139" s="220"/>
      <c r="K139" s="222"/>
      <c r="L139" s="221"/>
      <c r="M139" s="221"/>
      <c r="N139" s="222"/>
      <c r="O139" s="221"/>
      <c r="P139" s="223"/>
      <c r="Q139" s="224"/>
      <c r="R139" s="225"/>
      <c r="S139" s="226"/>
      <c r="T139" s="235"/>
      <c r="U139" s="235"/>
      <c r="V139" s="226"/>
      <c r="W139" s="218"/>
      <c r="X139" s="224"/>
      <c r="Y139" s="218"/>
      <c r="Z139" s="219"/>
      <c r="AA139" s="226"/>
      <c r="AB139" s="227"/>
      <c r="AC139" s="226"/>
      <c r="AD139" s="228"/>
      <c r="AE139" s="226"/>
      <c r="AF139" s="237"/>
      <c r="AG139" s="238"/>
      <c r="AH139" s="239"/>
      <c r="AI139" s="239"/>
      <c r="AJ139" s="239"/>
      <c r="AK139" s="150"/>
    </row>
    <row r="140" spans="2:37" x14ac:dyDescent="0.2">
      <c r="B140" s="214" t="s">
        <v>309</v>
      </c>
      <c r="C140" s="214" t="s">
        <v>328</v>
      </c>
      <c r="D140" s="232" t="s">
        <v>339</v>
      </c>
      <c r="E140" s="216" t="s">
        <v>83</v>
      </c>
      <c r="F140" s="233"/>
      <c r="G140" s="218"/>
      <c r="H140" s="218"/>
      <c r="I140" s="220"/>
      <c r="J140" s="220"/>
      <c r="K140" s="219"/>
      <c r="L140" s="221"/>
      <c r="M140" s="221"/>
      <c r="N140" s="222"/>
      <c r="O140" s="221"/>
      <c r="P140" s="228"/>
      <c r="Q140" s="224"/>
      <c r="R140" s="234"/>
      <c r="S140" s="235"/>
      <c r="T140" s="235"/>
      <c r="U140" s="235"/>
      <c r="V140" s="235"/>
      <c r="W140" s="220"/>
      <c r="X140" s="221"/>
      <c r="Y140" s="220"/>
      <c r="Z140" s="222"/>
      <c r="AA140" s="235"/>
      <c r="AB140" s="236"/>
      <c r="AC140" s="226"/>
      <c r="AD140" s="223"/>
      <c r="AE140" s="235"/>
      <c r="AF140" s="237"/>
      <c r="AG140" s="238"/>
      <c r="AH140" s="239"/>
      <c r="AI140" s="239"/>
      <c r="AJ140" s="239"/>
      <c r="AK140" s="150"/>
    </row>
    <row r="141" spans="2:37" x14ac:dyDescent="0.2">
      <c r="B141" s="214" t="s">
        <v>309</v>
      </c>
      <c r="C141" s="214" t="s">
        <v>328</v>
      </c>
      <c r="D141" s="232" t="s">
        <v>340</v>
      </c>
      <c r="E141" s="216" t="s">
        <v>135</v>
      </c>
      <c r="F141" s="217"/>
      <c r="G141" s="218"/>
      <c r="H141" s="218"/>
      <c r="I141" s="220"/>
      <c r="J141" s="220"/>
      <c r="K141" s="219"/>
      <c r="L141" s="221"/>
      <c r="M141" s="221"/>
      <c r="N141" s="222"/>
      <c r="O141" s="221"/>
      <c r="P141" s="223"/>
      <c r="Q141" s="221"/>
      <c r="R141" s="225"/>
      <c r="S141" s="235"/>
      <c r="T141" s="235"/>
      <c r="U141" s="235"/>
      <c r="V141" s="226"/>
      <c r="W141" s="218"/>
      <c r="X141" s="224"/>
      <c r="Y141" s="218"/>
      <c r="Z141" s="222"/>
      <c r="AA141" s="235"/>
      <c r="AB141" s="227"/>
      <c r="AC141" s="226"/>
      <c r="AD141" s="228"/>
      <c r="AE141" s="226"/>
      <c r="AF141" s="240"/>
      <c r="AG141" s="230"/>
      <c r="AH141" s="231"/>
      <c r="AI141" s="231"/>
      <c r="AJ141" s="231"/>
      <c r="AK141" s="150"/>
    </row>
    <row r="142" spans="2:37" x14ac:dyDescent="0.2">
      <c r="B142" s="214" t="s">
        <v>309</v>
      </c>
      <c r="C142" s="214" t="s">
        <v>328</v>
      </c>
      <c r="D142" s="232" t="s">
        <v>341</v>
      </c>
      <c r="E142" s="216" t="s">
        <v>91</v>
      </c>
      <c r="F142" s="233"/>
      <c r="G142" s="218"/>
      <c r="H142" s="220"/>
      <c r="I142" s="220"/>
      <c r="J142" s="220"/>
      <c r="K142" s="222"/>
      <c r="L142" s="221"/>
      <c r="M142" s="221"/>
      <c r="N142" s="222"/>
      <c r="O142" s="221"/>
      <c r="P142" s="223"/>
      <c r="Q142" s="221"/>
      <c r="R142" s="234"/>
      <c r="S142" s="235"/>
      <c r="T142" s="235"/>
      <c r="U142" s="235"/>
      <c r="V142" s="235"/>
      <c r="W142" s="220"/>
      <c r="X142" s="221"/>
      <c r="Y142" s="220"/>
      <c r="Z142" s="222"/>
      <c r="AA142" s="235"/>
      <c r="AB142" s="227"/>
      <c r="AC142" s="226"/>
      <c r="AD142" s="223"/>
      <c r="AE142" s="235"/>
      <c r="AF142" s="237"/>
      <c r="AG142" s="238"/>
      <c r="AH142" s="239"/>
      <c r="AI142" s="239"/>
      <c r="AJ142" s="239"/>
      <c r="AK142" s="150"/>
    </row>
    <row r="143" spans="2:37" x14ac:dyDescent="0.2">
      <c r="B143" s="214" t="s">
        <v>309</v>
      </c>
      <c r="C143" s="214" t="s">
        <v>328</v>
      </c>
      <c r="D143" s="232" t="s">
        <v>342</v>
      </c>
      <c r="E143" s="216" t="s">
        <v>83</v>
      </c>
      <c r="F143" s="233"/>
      <c r="G143" s="218"/>
      <c r="H143" s="220"/>
      <c r="I143" s="220"/>
      <c r="J143" s="220"/>
      <c r="K143" s="222"/>
      <c r="L143" s="221"/>
      <c r="M143" s="221"/>
      <c r="N143" s="222"/>
      <c r="O143" s="221"/>
      <c r="P143" s="223"/>
      <c r="Q143" s="221"/>
      <c r="R143" s="234"/>
      <c r="S143" s="235"/>
      <c r="T143" s="235"/>
      <c r="U143" s="235"/>
      <c r="V143" s="235"/>
      <c r="W143" s="220"/>
      <c r="X143" s="221"/>
      <c r="Y143" s="220"/>
      <c r="Z143" s="222"/>
      <c r="AA143" s="235"/>
      <c r="AB143" s="236"/>
      <c r="AC143" s="226"/>
      <c r="AD143" s="228"/>
      <c r="AE143" s="226"/>
      <c r="AF143" s="237"/>
      <c r="AG143" s="238"/>
      <c r="AH143" s="239"/>
      <c r="AI143" s="239"/>
      <c r="AJ143" s="239"/>
      <c r="AK143" s="150"/>
    </row>
    <row r="144" spans="2:37" x14ac:dyDescent="0.2">
      <c r="B144" s="214" t="s">
        <v>309</v>
      </c>
      <c r="C144" s="214" t="s">
        <v>328</v>
      </c>
      <c r="D144" s="215" t="s">
        <v>343</v>
      </c>
      <c r="E144" s="216" t="s">
        <v>529</v>
      </c>
      <c r="F144" s="217"/>
      <c r="G144" s="218"/>
      <c r="H144" s="218"/>
      <c r="I144" s="220"/>
      <c r="J144" s="220"/>
      <c r="K144" s="219"/>
      <c r="L144" s="221"/>
      <c r="M144" s="224"/>
      <c r="N144" s="219"/>
      <c r="O144" s="224"/>
      <c r="P144" s="223"/>
      <c r="Q144" s="224"/>
      <c r="R144" s="225"/>
      <c r="S144" s="226"/>
      <c r="T144" s="226"/>
      <c r="U144" s="226"/>
      <c r="V144" s="226"/>
      <c r="W144" s="218"/>
      <c r="X144" s="224"/>
      <c r="Y144" s="218"/>
      <c r="Z144" s="219"/>
      <c r="AA144" s="226"/>
      <c r="AB144" s="227"/>
      <c r="AC144" s="226"/>
      <c r="AD144" s="228"/>
      <c r="AE144" s="226"/>
      <c r="AF144" s="229"/>
      <c r="AG144" s="230"/>
      <c r="AH144" s="231"/>
      <c r="AI144" s="231"/>
      <c r="AJ144" s="231"/>
      <c r="AK144" s="150"/>
    </row>
    <row r="145" spans="2:37" x14ac:dyDescent="0.2">
      <c r="B145" s="214" t="s">
        <v>309</v>
      </c>
      <c r="C145" s="214" t="s">
        <v>328</v>
      </c>
      <c r="D145" s="215" t="s">
        <v>544</v>
      </c>
      <c r="E145" s="216" t="s">
        <v>527</v>
      </c>
      <c r="F145" s="217"/>
      <c r="G145" s="218"/>
      <c r="H145" s="218"/>
      <c r="I145" s="220"/>
      <c r="J145" s="220"/>
      <c r="K145" s="219"/>
      <c r="L145" s="221"/>
      <c r="M145" s="224"/>
      <c r="N145" s="219"/>
      <c r="O145" s="224"/>
      <c r="P145" s="223"/>
      <c r="Q145" s="224"/>
      <c r="R145" s="225"/>
      <c r="S145" s="226"/>
      <c r="T145" s="226"/>
      <c r="U145" s="226"/>
      <c r="V145" s="226"/>
      <c r="W145" s="218"/>
      <c r="X145" s="224"/>
      <c r="Y145" s="218"/>
      <c r="Z145" s="219"/>
      <c r="AA145" s="226"/>
      <c r="AB145" s="227"/>
      <c r="AC145" s="226"/>
      <c r="AD145" s="228"/>
      <c r="AE145" s="226"/>
      <c r="AF145" s="237"/>
      <c r="AG145" s="230"/>
      <c r="AH145" s="231"/>
      <c r="AI145" s="231"/>
      <c r="AJ145" s="239"/>
      <c r="AK145" s="150"/>
    </row>
    <row r="146" spans="2:37" x14ac:dyDescent="0.2">
      <c r="B146" s="214" t="s">
        <v>309</v>
      </c>
      <c r="C146" s="214" t="s">
        <v>328</v>
      </c>
      <c r="D146" s="215" t="s">
        <v>344</v>
      </c>
      <c r="E146" s="216" t="s">
        <v>534</v>
      </c>
      <c r="F146" s="233"/>
      <c r="G146" s="218"/>
      <c r="H146" s="218"/>
      <c r="I146" s="220"/>
      <c r="J146" s="220"/>
      <c r="K146" s="219"/>
      <c r="L146" s="221"/>
      <c r="M146" s="221"/>
      <c r="N146" s="222"/>
      <c r="O146" s="221"/>
      <c r="P146" s="223"/>
      <c r="Q146" s="221"/>
      <c r="R146" s="225"/>
      <c r="S146" s="235"/>
      <c r="T146" s="235"/>
      <c r="U146" s="235"/>
      <c r="V146" s="226"/>
      <c r="W146" s="218"/>
      <c r="X146" s="224"/>
      <c r="Y146" s="218"/>
      <c r="Z146" s="222"/>
      <c r="AA146" s="235"/>
      <c r="AB146" s="227"/>
      <c r="AC146" s="226"/>
      <c r="AD146" s="228"/>
      <c r="AE146" s="226"/>
      <c r="AF146" s="237"/>
      <c r="AG146" s="238"/>
      <c r="AH146" s="231"/>
      <c r="AI146" s="231"/>
      <c r="AJ146" s="239"/>
      <c r="AK146" s="150"/>
    </row>
    <row r="147" spans="2:37" x14ac:dyDescent="0.2">
      <c r="B147" s="214" t="s">
        <v>309</v>
      </c>
      <c r="C147" s="214" t="s">
        <v>328</v>
      </c>
      <c r="D147" s="215" t="s">
        <v>535</v>
      </c>
      <c r="E147" s="216" t="s">
        <v>529</v>
      </c>
      <c r="F147" s="233"/>
      <c r="G147" s="218"/>
      <c r="H147" s="218"/>
      <c r="I147" s="220"/>
      <c r="J147" s="220"/>
      <c r="K147" s="219"/>
      <c r="L147" s="221"/>
      <c r="M147" s="221"/>
      <c r="N147" s="222"/>
      <c r="O147" s="224"/>
      <c r="P147" s="223"/>
      <c r="Q147" s="224"/>
      <c r="R147" s="225"/>
      <c r="S147" s="226"/>
      <c r="T147" s="235"/>
      <c r="U147" s="235"/>
      <c r="V147" s="226"/>
      <c r="W147" s="218"/>
      <c r="X147" s="224"/>
      <c r="Y147" s="218"/>
      <c r="Z147" s="219"/>
      <c r="AA147" s="226"/>
      <c r="AB147" s="227"/>
      <c r="AC147" s="226"/>
      <c r="AD147" s="228"/>
      <c r="AE147" s="226"/>
      <c r="AF147" s="229"/>
      <c r="AG147" s="230"/>
      <c r="AH147" s="231"/>
      <c r="AI147" s="231"/>
      <c r="AJ147" s="231"/>
      <c r="AK147" s="150"/>
    </row>
    <row r="148" spans="2:37" x14ac:dyDescent="0.2">
      <c r="B148" s="214" t="s">
        <v>309</v>
      </c>
      <c r="C148" s="214" t="s">
        <v>328</v>
      </c>
      <c r="D148" s="215" t="s">
        <v>345</v>
      </c>
      <c r="E148" s="216" t="s">
        <v>529</v>
      </c>
      <c r="F148" s="233"/>
      <c r="G148" s="218"/>
      <c r="H148" s="218"/>
      <c r="I148" s="220"/>
      <c r="J148" s="220"/>
      <c r="K148" s="219"/>
      <c r="L148" s="221"/>
      <c r="M148" s="221"/>
      <c r="N148" s="222"/>
      <c r="O148" s="221"/>
      <c r="P148" s="223"/>
      <c r="Q148" s="221"/>
      <c r="R148" s="225"/>
      <c r="S148" s="235"/>
      <c r="T148" s="235"/>
      <c r="U148" s="235"/>
      <c r="V148" s="235"/>
      <c r="W148" s="220"/>
      <c r="X148" s="221"/>
      <c r="Y148" s="220"/>
      <c r="Z148" s="222"/>
      <c r="AA148" s="235"/>
      <c r="AB148" s="236"/>
      <c r="AC148" s="226"/>
      <c r="AD148" s="223"/>
      <c r="AE148" s="235"/>
      <c r="AF148" s="237"/>
      <c r="AG148" s="238"/>
      <c r="AH148" s="239"/>
      <c r="AI148" s="239"/>
      <c r="AJ148" s="239"/>
      <c r="AK148" s="150"/>
    </row>
    <row r="149" spans="2:37" x14ac:dyDescent="0.2">
      <c r="B149" s="214" t="s">
        <v>309</v>
      </c>
      <c r="C149" s="214" t="s">
        <v>328</v>
      </c>
      <c r="D149" s="215" t="s">
        <v>346</v>
      </c>
      <c r="E149" s="216" t="s">
        <v>529</v>
      </c>
      <c r="F149" s="233"/>
      <c r="G149" s="218"/>
      <c r="H149" s="218"/>
      <c r="I149" s="220"/>
      <c r="J149" s="220"/>
      <c r="K149" s="219"/>
      <c r="L149" s="221"/>
      <c r="M149" s="221"/>
      <c r="N149" s="222"/>
      <c r="O149" s="221"/>
      <c r="P149" s="223"/>
      <c r="Q149" s="221"/>
      <c r="R149" s="225"/>
      <c r="S149" s="235"/>
      <c r="T149" s="235"/>
      <c r="U149" s="235"/>
      <c r="V149" s="235"/>
      <c r="W149" s="220"/>
      <c r="X149" s="221"/>
      <c r="Y149" s="220"/>
      <c r="Z149" s="222"/>
      <c r="AA149" s="235"/>
      <c r="AB149" s="236"/>
      <c r="AC149" s="226"/>
      <c r="AD149" s="223"/>
      <c r="AE149" s="235"/>
      <c r="AF149" s="237"/>
      <c r="AG149" s="238"/>
      <c r="AH149" s="239"/>
      <c r="AI149" s="239"/>
      <c r="AJ149" s="239"/>
      <c r="AK149" s="150"/>
    </row>
    <row r="150" spans="2:37" x14ac:dyDescent="0.2">
      <c r="B150" s="214" t="s">
        <v>309</v>
      </c>
      <c r="C150" s="214" t="s">
        <v>328</v>
      </c>
      <c r="D150" s="215" t="s">
        <v>347</v>
      </c>
      <c r="E150" s="216" t="s">
        <v>529</v>
      </c>
      <c r="F150" s="233"/>
      <c r="G150" s="218"/>
      <c r="H150" s="218"/>
      <c r="I150" s="220"/>
      <c r="J150" s="220"/>
      <c r="K150" s="219"/>
      <c r="L150" s="221"/>
      <c r="M150" s="221"/>
      <c r="N150" s="222"/>
      <c r="O150" s="221"/>
      <c r="P150" s="223"/>
      <c r="Q150" s="221"/>
      <c r="R150" s="225"/>
      <c r="S150" s="235"/>
      <c r="T150" s="235"/>
      <c r="U150" s="235"/>
      <c r="V150" s="235"/>
      <c r="W150" s="220"/>
      <c r="X150" s="221"/>
      <c r="Y150" s="220"/>
      <c r="Z150" s="222"/>
      <c r="AA150" s="235"/>
      <c r="AB150" s="236"/>
      <c r="AC150" s="226"/>
      <c r="AD150" s="223"/>
      <c r="AE150" s="235"/>
      <c r="AF150" s="237"/>
      <c r="AG150" s="238"/>
      <c r="AH150" s="239"/>
      <c r="AI150" s="239"/>
      <c r="AJ150" s="239"/>
      <c r="AK150" s="150"/>
    </row>
    <row r="151" spans="2:37" x14ac:dyDescent="0.2">
      <c r="B151" s="214" t="s">
        <v>309</v>
      </c>
      <c r="C151" s="214" t="s">
        <v>328</v>
      </c>
      <c r="D151" s="215" t="s">
        <v>348</v>
      </c>
      <c r="E151" s="216" t="s">
        <v>529</v>
      </c>
      <c r="F151" s="233"/>
      <c r="G151" s="218"/>
      <c r="H151" s="220"/>
      <c r="I151" s="220"/>
      <c r="J151" s="220"/>
      <c r="K151" s="222"/>
      <c r="L151" s="221"/>
      <c r="M151" s="221"/>
      <c r="N151" s="222"/>
      <c r="O151" s="221"/>
      <c r="P151" s="223"/>
      <c r="Q151" s="221"/>
      <c r="R151" s="234"/>
      <c r="S151" s="235"/>
      <c r="T151" s="235"/>
      <c r="U151" s="235"/>
      <c r="V151" s="235"/>
      <c r="W151" s="220"/>
      <c r="X151" s="221"/>
      <c r="Y151" s="220"/>
      <c r="Z151" s="222"/>
      <c r="AA151" s="235"/>
      <c r="AB151" s="236"/>
      <c r="AC151" s="226"/>
      <c r="AD151" s="223"/>
      <c r="AE151" s="235"/>
      <c r="AF151" s="237"/>
      <c r="AG151" s="238"/>
      <c r="AH151" s="239"/>
      <c r="AI151" s="239"/>
      <c r="AJ151" s="239"/>
      <c r="AK151" s="150"/>
    </row>
    <row r="152" spans="2:37" x14ac:dyDescent="0.2">
      <c r="B152" s="214" t="s">
        <v>309</v>
      </c>
      <c r="C152" s="214" t="s">
        <v>328</v>
      </c>
      <c r="D152" s="215" t="s">
        <v>349</v>
      </c>
      <c r="E152" s="216" t="s">
        <v>135</v>
      </c>
      <c r="F152" s="217"/>
      <c r="G152" s="218"/>
      <c r="H152" s="220"/>
      <c r="I152" s="220"/>
      <c r="J152" s="220"/>
      <c r="K152" s="222"/>
      <c r="L152" s="221"/>
      <c r="M152" s="221"/>
      <c r="N152" s="222"/>
      <c r="O152" s="221"/>
      <c r="P152" s="223"/>
      <c r="Q152" s="221"/>
      <c r="R152" s="234"/>
      <c r="S152" s="235"/>
      <c r="T152" s="235"/>
      <c r="U152" s="235"/>
      <c r="V152" s="235"/>
      <c r="W152" s="220"/>
      <c r="X152" s="221"/>
      <c r="Y152" s="220"/>
      <c r="Z152" s="222"/>
      <c r="AA152" s="235"/>
      <c r="AB152" s="236"/>
      <c r="AC152" s="226"/>
      <c r="AD152" s="223"/>
      <c r="AE152" s="235"/>
      <c r="AF152" s="237"/>
      <c r="AG152" s="238"/>
      <c r="AH152" s="239"/>
      <c r="AI152" s="239"/>
      <c r="AJ152" s="239"/>
      <c r="AK152" s="150"/>
    </row>
    <row r="153" spans="2:37" x14ac:dyDescent="0.2">
      <c r="B153" s="214" t="s">
        <v>309</v>
      </c>
      <c r="C153" s="214" t="s">
        <v>350</v>
      </c>
      <c r="D153" s="215" t="s">
        <v>351</v>
      </c>
      <c r="E153" s="216" t="s">
        <v>527</v>
      </c>
      <c r="F153" s="217"/>
      <c r="G153" s="218"/>
      <c r="H153" s="218"/>
      <c r="I153" s="220"/>
      <c r="J153" s="220"/>
      <c r="K153" s="219"/>
      <c r="L153" s="221"/>
      <c r="M153" s="221"/>
      <c r="N153" s="222"/>
      <c r="O153" s="221"/>
      <c r="P153" s="223"/>
      <c r="Q153" s="224"/>
      <c r="R153" s="225"/>
      <c r="S153" s="226"/>
      <c r="T153" s="235"/>
      <c r="U153" s="235"/>
      <c r="V153" s="226"/>
      <c r="W153" s="218"/>
      <c r="X153" s="224"/>
      <c r="Y153" s="218"/>
      <c r="Z153" s="219"/>
      <c r="AA153" s="226"/>
      <c r="AB153" s="227"/>
      <c r="AC153" s="226"/>
      <c r="AD153" s="228"/>
      <c r="AE153" s="226"/>
      <c r="AF153" s="229"/>
      <c r="AG153" s="230"/>
      <c r="AH153" s="231"/>
      <c r="AI153" s="231"/>
      <c r="AJ153" s="231"/>
      <c r="AK153" s="150"/>
    </row>
    <row r="154" spans="2:37" x14ac:dyDescent="0.2">
      <c r="B154" s="214" t="s">
        <v>309</v>
      </c>
      <c r="C154" s="214" t="s">
        <v>350</v>
      </c>
      <c r="D154" s="215" t="s">
        <v>353</v>
      </c>
      <c r="E154" s="216" t="s">
        <v>527</v>
      </c>
      <c r="F154" s="217"/>
      <c r="G154" s="218"/>
      <c r="H154" s="218"/>
      <c r="I154" s="219"/>
      <c r="J154" s="218"/>
      <c r="K154" s="219"/>
      <c r="L154" s="221"/>
      <c r="M154" s="221"/>
      <c r="N154" s="222"/>
      <c r="O154" s="221"/>
      <c r="P154" s="223"/>
      <c r="Q154" s="221"/>
      <c r="R154" s="225"/>
      <c r="S154" s="226"/>
      <c r="T154" s="235"/>
      <c r="U154" s="235"/>
      <c r="V154" s="226"/>
      <c r="W154" s="218"/>
      <c r="X154" s="224"/>
      <c r="Y154" s="218"/>
      <c r="Z154" s="219"/>
      <c r="AA154" s="226"/>
      <c r="AB154" s="227"/>
      <c r="AC154" s="226"/>
      <c r="AD154" s="228"/>
      <c r="AE154" s="226"/>
      <c r="AF154" s="229"/>
      <c r="AG154" s="230"/>
      <c r="AH154" s="231"/>
      <c r="AI154" s="231"/>
      <c r="AJ154" s="231"/>
      <c r="AK154" s="150"/>
    </row>
    <row r="155" spans="2:37" x14ac:dyDescent="0.2">
      <c r="B155" s="214" t="s">
        <v>309</v>
      </c>
      <c r="C155" s="214" t="s">
        <v>354</v>
      </c>
      <c r="D155" s="232" t="s">
        <v>355</v>
      </c>
      <c r="E155" s="216" t="s">
        <v>527</v>
      </c>
      <c r="F155" s="217"/>
      <c r="G155" s="218"/>
      <c r="H155" s="218"/>
      <c r="I155" s="220"/>
      <c r="J155" s="220"/>
      <c r="K155" s="219"/>
      <c r="L155" s="221"/>
      <c r="M155" s="221"/>
      <c r="N155" s="222"/>
      <c r="O155" s="221"/>
      <c r="P155" s="223"/>
      <c r="Q155" s="221"/>
      <c r="R155" s="225"/>
      <c r="S155" s="226"/>
      <c r="T155" s="235"/>
      <c r="U155" s="235"/>
      <c r="V155" s="226"/>
      <c r="W155" s="218"/>
      <c r="X155" s="224"/>
      <c r="Y155" s="218"/>
      <c r="Z155" s="222"/>
      <c r="AA155" s="235"/>
      <c r="AB155" s="236"/>
      <c r="AC155" s="226"/>
      <c r="AD155" s="228"/>
      <c r="AE155" s="226"/>
      <c r="AF155" s="229"/>
      <c r="AG155" s="238"/>
      <c r="AH155" s="231"/>
      <c r="AI155" s="231"/>
      <c r="AJ155" s="239"/>
      <c r="AK155" s="150"/>
    </row>
    <row r="156" spans="2:37" x14ac:dyDescent="0.2">
      <c r="B156" s="214" t="s">
        <v>309</v>
      </c>
      <c r="C156" s="214" t="s">
        <v>356</v>
      </c>
      <c r="D156" s="215" t="s">
        <v>357</v>
      </c>
      <c r="E156" s="216" t="s">
        <v>527</v>
      </c>
      <c r="F156" s="217"/>
      <c r="G156" s="218"/>
      <c r="H156" s="218"/>
      <c r="I156" s="220"/>
      <c r="J156" s="220"/>
      <c r="K156" s="219"/>
      <c r="L156" s="224"/>
      <c r="M156" s="224"/>
      <c r="N156" s="219"/>
      <c r="O156" s="224"/>
      <c r="P156" s="228"/>
      <c r="Q156" s="224"/>
      <c r="R156" s="225"/>
      <c r="S156" s="235"/>
      <c r="T156" s="235"/>
      <c r="U156" s="235"/>
      <c r="V156" s="235"/>
      <c r="W156" s="220"/>
      <c r="X156" s="221"/>
      <c r="Y156" s="220"/>
      <c r="Z156" s="222"/>
      <c r="AA156" s="235"/>
      <c r="AB156" s="227"/>
      <c r="AC156" s="226"/>
      <c r="AD156" s="223"/>
      <c r="AE156" s="235"/>
      <c r="AF156" s="237"/>
      <c r="AG156" s="238"/>
      <c r="AH156" s="239"/>
      <c r="AI156" s="239"/>
      <c r="AJ156" s="239"/>
      <c r="AK156" s="150"/>
    </row>
    <row r="157" spans="2:37" x14ac:dyDescent="0.2">
      <c r="B157" s="214"/>
      <c r="C157" s="214"/>
      <c r="D157" s="215" t="s">
        <v>543</v>
      </c>
      <c r="E157" s="216" t="s">
        <v>527</v>
      </c>
      <c r="F157" s="217"/>
      <c r="G157" s="218"/>
      <c r="H157" s="220"/>
      <c r="I157" s="220"/>
      <c r="J157" s="220"/>
      <c r="K157" s="222"/>
      <c r="L157" s="221"/>
      <c r="M157" s="221"/>
      <c r="N157" s="222"/>
      <c r="O157" s="221"/>
      <c r="P157" s="223"/>
      <c r="Q157" s="221"/>
      <c r="R157" s="225"/>
      <c r="S157" s="226"/>
      <c r="T157" s="226"/>
      <c r="U157" s="235"/>
      <c r="V157" s="226"/>
      <c r="W157" s="218"/>
      <c r="X157" s="224"/>
      <c r="Y157" s="218"/>
      <c r="Z157" s="222"/>
      <c r="AA157" s="235"/>
      <c r="AB157" s="236"/>
      <c r="AC157" s="226"/>
      <c r="AD157" s="228"/>
      <c r="AE157" s="226"/>
      <c r="AF157" s="229"/>
      <c r="AG157" s="230"/>
      <c r="AH157" s="231"/>
      <c r="AI157" s="231"/>
      <c r="AJ157" s="231"/>
      <c r="AK157" s="150"/>
    </row>
    <row r="158" spans="2:37" x14ac:dyDescent="0.2">
      <c r="B158" s="214" t="s">
        <v>309</v>
      </c>
      <c r="C158" s="214" t="s">
        <v>358</v>
      </c>
      <c r="D158" s="215" t="s">
        <v>536</v>
      </c>
      <c r="E158" s="216" t="s">
        <v>527</v>
      </c>
      <c r="F158" s="217"/>
      <c r="G158" s="218"/>
      <c r="H158" s="218"/>
      <c r="I158" s="220"/>
      <c r="J158" s="220"/>
      <c r="K158" s="219"/>
      <c r="L158" s="221"/>
      <c r="M158" s="221"/>
      <c r="N158" s="222"/>
      <c r="O158" s="224"/>
      <c r="P158" s="223"/>
      <c r="Q158" s="224"/>
      <c r="R158" s="225"/>
      <c r="S158" s="226"/>
      <c r="T158" s="235"/>
      <c r="U158" s="235"/>
      <c r="V158" s="226"/>
      <c r="W158" s="218"/>
      <c r="X158" s="224"/>
      <c r="Y158" s="218"/>
      <c r="Z158" s="219"/>
      <c r="AA158" s="226"/>
      <c r="AB158" s="227"/>
      <c r="AC158" s="226"/>
      <c r="AD158" s="228"/>
      <c r="AE158" s="226"/>
      <c r="AF158" s="229"/>
      <c r="AG158" s="230"/>
      <c r="AH158" s="231"/>
      <c r="AI158" s="231"/>
      <c r="AJ158" s="231"/>
      <c r="AK158" s="150"/>
    </row>
    <row r="159" spans="2:37" x14ac:dyDescent="0.2">
      <c r="B159" s="214" t="s">
        <v>309</v>
      </c>
      <c r="C159" s="214" t="s">
        <v>359</v>
      </c>
      <c r="D159" s="232" t="s">
        <v>360</v>
      </c>
      <c r="E159" s="216" t="s">
        <v>83</v>
      </c>
      <c r="F159" s="233"/>
      <c r="G159" s="218"/>
      <c r="H159" s="220"/>
      <c r="I159" s="220"/>
      <c r="J159" s="220"/>
      <c r="K159" s="222"/>
      <c r="L159" s="221"/>
      <c r="M159" s="221"/>
      <c r="N159" s="222"/>
      <c r="O159" s="221"/>
      <c r="P159" s="223"/>
      <c r="Q159" s="221"/>
      <c r="R159" s="234"/>
      <c r="S159" s="235"/>
      <c r="T159" s="235"/>
      <c r="U159" s="235"/>
      <c r="V159" s="235"/>
      <c r="W159" s="218"/>
      <c r="X159" s="224"/>
      <c r="Y159" s="218"/>
      <c r="Z159" s="222"/>
      <c r="AA159" s="235"/>
      <c r="AB159" s="236"/>
      <c r="AC159" s="226"/>
      <c r="AD159" s="228"/>
      <c r="AE159" s="226"/>
      <c r="AF159" s="237"/>
      <c r="AG159" s="238"/>
      <c r="AH159" s="231"/>
      <c r="AI159" s="231"/>
      <c r="AJ159" s="239"/>
      <c r="AK159" s="150"/>
    </row>
    <row r="160" spans="2:37" x14ac:dyDescent="0.2">
      <c r="B160" s="214" t="s">
        <v>309</v>
      </c>
      <c r="C160" s="214" t="s">
        <v>361</v>
      </c>
      <c r="D160" s="215" t="s">
        <v>362</v>
      </c>
      <c r="E160" s="216" t="s">
        <v>527</v>
      </c>
      <c r="F160" s="233"/>
      <c r="G160" s="218"/>
      <c r="H160" s="220"/>
      <c r="I160" s="220"/>
      <c r="J160" s="220"/>
      <c r="K160" s="222"/>
      <c r="L160" s="221"/>
      <c r="M160" s="221"/>
      <c r="N160" s="222"/>
      <c r="O160" s="221"/>
      <c r="P160" s="223"/>
      <c r="Q160" s="221"/>
      <c r="R160" s="225"/>
      <c r="S160" s="226"/>
      <c r="T160" s="235"/>
      <c r="U160" s="235"/>
      <c r="V160" s="226"/>
      <c r="W160" s="218"/>
      <c r="X160" s="224"/>
      <c r="Y160" s="218"/>
      <c r="Z160" s="219"/>
      <c r="AA160" s="226"/>
      <c r="AB160" s="227"/>
      <c r="AC160" s="226"/>
      <c r="AD160" s="228"/>
      <c r="AE160" s="226"/>
      <c r="AF160" s="229"/>
      <c r="AG160" s="230"/>
      <c r="AH160" s="231"/>
      <c r="AI160" s="231"/>
      <c r="AJ160" s="231"/>
      <c r="AK160" s="150"/>
    </row>
    <row r="161" spans="2:37" x14ac:dyDescent="0.2">
      <c r="B161" s="214"/>
      <c r="C161" s="214"/>
      <c r="D161" s="215" t="s">
        <v>537</v>
      </c>
      <c r="E161" s="216" t="s">
        <v>527</v>
      </c>
      <c r="F161" s="233"/>
      <c r="G161" s="218"/>
      <c r="H161" s="218"/>
      <c r="I161" s="220"/>
      <c r="J161" s="220"/>
      <c r="K161" s="219"/>
      <c r="L161" s="221"/>
      <c r="M161" s="221"/>
      <c r="N161" s="222"/>
      <c r="O161" s="221"/>
      <c r="P161" s="223"/>
      <c r="Q161" s="224"/>
      <c r="R161" s="225"/>
      <c r="S161" s="226"/>
      <c r="T161" s="235"/>
      <c r="U161" s="235"/>
      <c r="V161" s="235"/>
      <c r="W161" s="220"/>
      <c r="X161" s="221"/>
      <c r="Y161" s="220"/>
      <c r="Z161" s="219"/>
      <c r="AA161" s="226"/>
      <c r="AB161" s="227"/>
      <c r="AC161" s="226"/>
      <c r="AD161" s="223"/>
      <c r="AE161" s="235"/>
      <c r="AF161" s="237"/>
      <c r="AG161" s="238"/>
      <c r="AH161" s="239"/>
      <c r="AI161" s="239"/>
      <c r="AJ161" s="239"/>
      <c r="AK161" s="150"/>
    </row>
    <row r="162" spans="2:37" x14ac:dyDescent="0.2">
      <c r="B162" s="214" t="s">
        <v>309</v>
      </c>
      <c r="C162" s="214" t="s">
        <v>365</v>
      </c>
      <c r="D162" s="215" t="s">
        <v>366</v>
      </c>
      <c r="E162" s="216" t="s">
        <v>527</v>
      </c>
      <c r="F162" s="217"/>
      <c r="G162" s="218"/>
      <c r="H162" s="218"/>
      <c r="I162" s="220"/>
      <c r="J162" s="220"/>
      <c r="K162" s="219"/>
      <c r="L162" s="221"/>
      <c r="M162" s="221"/>
      <c r="N162" s="222"/>
      <c r="O162" s="221"/>
      <c r="P162" s="223"/>
      <c r="Q162" s="224"/>
      <c r="R162" s="225"/>
      <c r="S162" s="226"/>
      <c r="T162" s="235"/>
      <c r="U162" s="235"/>
      <c r="V162" s="226"/>
      <c r="W162" s="218"/>
      <c r="X162" s="224"/>
      <c r="Y162" s="218"/>
      <c r="Z162" s="219"/>
      <c r="AA162" s="226"/>
      <c r="AB162" s="227"/>
      <c r="AC162" s="226"/>
      <c r="AD162" s="228"/>
      <c r="AE162" s="226"/>
      <c r="AF162" s="229"/>
      <c r="AG162" s="230"/>
      <c r="AH162" s="231"/>
      <c r="AI162" s="231"/>
      <c r="AJ162" s="231"/>
      <c r="AK162" s="150"/>
    </row>
    <row r="163" spans="2:37" x14ac:dyDescent="0.2">
      <c r="B163" s="214" t="s">
        <v>367</v>
      </c>
      <c r="C163" s="214" t="s">
        <v>368</v>
      </c>
      <c r="D163" s="215" t="s">
        <v>369</v>
      </c>
      <c r="E163" s="216" t="s">
        <v>527</v>
      </c>
      <c r="F163" s="217"/>
      <c r="G163" s="218"/>
      <c r="H163" s="218"/>
      <c r="I163" s="219"/>
      <c r="J163" s="218"/>
      <c r="K163" s="219"/>
      <c r="L163" s="221"/>
      <c r="M163" s="221"/>
      <c r="N163" s="222"/>
      <c r="O163" s="224"/>
      <c r="P163" s="223"/>
      <c r="Q163" s="224"/>
      <c r="R163" s="225"/>
      <c r="S163" s="226"/>
      <c r="T163" s="235"/>
      <c r="U163" s="235"/>
      <c r="V163" s="226"/>
      <c r="W163" s="218"/>
      <c r="X163" s="224"/>
      <c r="Y163" s="218"/>
      <c r="Z163" s="219"/>
      <c r="AA163" s="226"/>
      <c r="AB163" s="227"/>
      <c r="AC163" s="226"/>
      <c r="AD163" s="228"/>
      <c r="AE163" s="226"/>
      <c r="AF163" s="229"/>
      <c r="AG163" s="230"/>
      <c r="AH163" s="231"/>
      <c r="AI163" s="231"/>
      <c r="AJ163" s="231"/>
      <c r="AK163" s="150"/>
    </row>
    <row r="164" spans="2:37" x14ac:dyDescent="0.2">
      <c r="B164" s="214" t="s">
        <v>367</v>
      </c>
      <c r="C164" s="214" t="s">
        <v>371</v>
      </c>
      <c r="D164" s="215" t="s">
        <v>372</v>
      </c>
      <c r="E164" s="216" t="s">
        <v>527</v>
      </c>
      <c r="F164" s="217"/>
      <c r="G164" s="218"/>
      <c r="H164" s="220"/>
      <c r="I164" s="220"/>
      <c r="J164" s="220"/>
      <c r="K164" s="222"/>
      <c r="L164" s="224"/>
      <c r="M164" s="221"/>
      <c r="N164" s="222"/>
      <c r="O164" s="221"/>
      <c r="P164" s="223"/>
      <c r="Q164" s="221"/>
      <c r="R164" s="225"/>
      <c r="S164" s="226"/>
      <c r="T164" s="235"/>
      <c r="U164" s="235"/>
      <c r="V164" s="226"/>
      <c r="W164" s="218"/>
      <c r="X164" s="224"/>
      <c r="Y164" s="218"/>
      <c r="Z164" s="219"/>
      <c r="AA164" s="226"/>
      <c r="AB164" s="227"/>
      <c r="AC164" s="226"/>
      <c r="AD164" s="228"/>
      <c r="AE164" s="226"/>
      <c r="AF164" s="229"/>
      <c r="AG164" s="230"/>
      <c r="AH164" s="231"/>
      <c r="AI164" s="231"/>
      <c r="AJ164" s="231"/>
      <c r="AK164" s="150"/>
    </row>
    <row r="165" spans="2:37" x14ac:dyDescent="0.2">
      <c r="B165" s="214" t="s">
        <v>367</v>
      </c>
      <c r="C165" s="214" t="s">
        <v>374</v>
      </c>
      <c r="D165" s="215" t="s">
        <v>542</v>
      </c>
      <c r="E165" s="216" t="s">
        <v>527</v>
      </c>
      <c r="F165" s="217"/>
      <c r="G165" s="218"/>
      <c r="H165" s="218"/>
      <c r="I165" s="220"/>
      <c r="J165" s="220"/>
      <c r="K165" s="219"/>
      <c r="L165" s="221"/>
      <c r="M165" s="221"/>
      <c r="N165" s="222"/>
      <c r="O165" s="221"/>
      <c r="P165" s="223"/>
      <c r="Q165" s="221"/>
      <c r="R165" s="225"/>
      <c r="S165" s="226"/>
      <c r="T165" s="235"/>
      <c r="U165" s="235"/>
      <c r="V165" s="226"/>
      <c r="W165" s="218"/>
      <c r="X165" s="224"/>
      <c r="Y165" s="218"/>
      <c r="Z165" s="219"/>
      <c r="AA165" s="226"/>
      <c r="AB165" s="227"/>
      <c r="AC165" s="226"/>
      <c r="AD165" s="228"/>
      <c r="AE165" s="226"/>
      <c r="AF165" s="229"/>
      <c r="AG165" s="230"/>
      <c r="AH165" s="231"/>
      <c r="AI165" s="231"/>
      <c r="AJ165" s="231"/>
      <c r="AK165" s="150"/>
    </row>
    <row r="166" spans="2:37" x14ac:dyDescent="0.2">
      <c r="B166" s="214" t="s">
        <v>367</v>
      </c>
      <c r="C166" s="214" t="s">
        <v>375</v>
      </c>
      <c r="D166" s="215" t="s">
        <v>376</v>
      </c>
      <c r="E166" s="216" t="s">
        <v>527</v>
      </c>
      <c r="F166" s="217"/>
      <c r="G166" s="218"/>
      <c r="H166" s="218"/>
      <c r="I166" s="219"/>
      <c r="J166" s="218"/>
      <c r="K166" s="219"/>
      <c r="L166" s="224"/>
      <c r="M166" s="221"/>
      <c r="N166" s="222"/>
      <c r="O166" s="221"/>
      <c r="P166" s="223"/>
      <c r="Q166" s="224"/>
      <c r="R166" s="225"/>
      <c r="S166" s="226"/>
      <c r="T166" s="226"/>
      <c r="U166" s="235"/>
      <c r="V166" s="226"/>
      <c r="W166" s="218"/>
      <c r="X166" s="224"/>
      <c r="Y166" s="218"/>
      <c r="Z166" s="219"/>
      <c r="AA166" s="226"/>
      <c r="AB166" s="227"/>
      <c r="AC166" s="226"/>
      <c r="AD166" s="228"/>
      <c r="AE166" s="226"/>
      <c r="AF166" s="229"/>
      <c r="AG166" s="230"/>
      <c r="AH166" s="231"/>
      <c r="AI166" s="231"/>
      <c r="AJ166" s="231"/>
      <c r="AK166" s="150"/>
    </row>
    <row r="167" spans="2:37" x14ac:dyDescent="0.2">
      <c r="B167" s="214" t="s">
        <v>367</v>
      </c>
      <c r="C167" s="214" t="s">
        <v>378</v>
      </c>
      <c r="D167" s="215" t="s">
        <v>379</v>
      </c>
      <c r="E167" s="216" t="s">
        <v>527</v>
      </c>
      <c r="F167" s="233"/>
      <c r="G167" s="218"/>
      <c r="H167" s="218"/>
      <c r="I167" s="219"/>
      <c r="J167" s="220"/>
      <c r="K167" s="219"/>
      <c r="L167" s="221"/>
      <c r="M167" s="221"/>
      <c r="N167" s="222"/>
      <c r="O167" s="224"/>
      <c r="P167" s="228"/>
      <c r="Q167" s="224"/>
      <c r="R167" s="225"/>
      <c r="S167" s="226"/>
      <c r="T167" s="235"/>
      <c r="U167" s="235"/>
      <c r="V167" s="226"/>
      <c r="W167" s="218"/>
      <c r="X167" s="224"/>
      <c r="Y167" s="218"/>
      <c r="Z167" s="219"/>
      <c r="AA167" s="226"/>
      <c r="AB167" s="227"/>
      <c r="AC167" s="226"/>
      <c r="AD167" s="228"/>
      <c r="AE167" s="226"/>
      <c r="AF167" s="229"/>
      <c r="AG167" s="230"/>
      <c r="AH167" s="231"/>
      <c r="AI167" s="231"/>
      <c r="AJ167" s="231"/>
      <c r="AK167" s="150"/>
    </row>
    <row r="168" spans="2:37" x14ac:dyDescent="0.2">
      <c r="B168" s="214" t="s">
        <v>367</v>
      </c>
      <c r="C168" s="214" t="s">
        <v>381</v>
      </c>
      <c r="D168" s="232" t="s">
        <v>382</v>
      </c>
      <c r="E168" s="216" t="s">
        <v>83</v>
      </c>
      <c r="F168" s="217"/>
      <c r="G168" s="218"/>
      <c r="H168" s="218"/>
      <c r="I168" s="220"/>
      <c r="J168" s="220"/>
      <c r="K168" s="219"/>
      <c r="L168" s="221"/>
      <c r="M168" s="221"/>
      <c r="N168" s="222"/>
      <c r="O168" s="221"/>
      <c r="P168" s="223"/>
      <c r="Q168" s="221"/>
      <c r="R168" s="234"/>
      <c r="S168" s="235"/>
      <c r="T168" s="235"/>
      <c r="U168" s="235"/>
      <c r="V168" s="235"/>
      <c r="W168" s="220"/>
      <c r="X168" s="221"/>
      <c r="Y168" s="220"/>
      <c r="Z168" s="222"/>
      <c r="AA168" s="235"/>
      <c r="AB168" s="236"/>
      <c r="AC168" s="226"/>
      <c r="AD168" s="228"/>
      <c r="AE168" s="226"/>
      <c r="AF168" s="237"/>
      <c r="AG168" s="238"/>
      <c r="AH168" s="239"/>
      <c r="AI168" s="239"/>
      <c r="AJ168" s="239"/>
      <c r="AK168" s="150"/>
    </row>
    <row r="169" spans="2:37" x14ac:dyDescent="0.2">
      <c r="B169" s="214" t="s">
        <v>367</v>
      </c>
      <c r="C169" s="214" t="s">
        <v>383</v>
      </c>
      <c r="D169" s="232" t="s">
        <v>384</v>
      </c>
      <c r="E169" s="216" t="s">
        <v>385</v>
      </c>
      <c r="F169" s="233"/>
      <c r="G169" s="218"/>
      <c r="H169" s="218"/>
      <c r="I169" s="220"/>
      <c r="J169" s="220"/>
      <c r="K169" s="219"/>
      <c r="L169" s="221"/>
      <c r="M169" s="221"/>
      <c r="N169" s="222"/>
      <c r="O169" s="221"/>
      <c r="P169" s="223"/>
      <c r="Q169" s="221"/>
      <c r="R169" s="234"/>
      <c r="S169" s="235"/>
      <c r="T169" s="235"/>
      <c r="U169" s="235"/>
      <c r="V169" s="235"/>
      <c r="W169" s="220"/>
      <c r="X169" s="221"/>
      <c r="Y169" s="220"/>
      <c r="Z169" s="222"/>
      <c r="AA169" s="235"/>
      <c r="AB169" s="236"/>
      <c r="AC169" s="226"/>
      <c r="AD169" s="223"/>
      <c r="AE169" s="235"/>
      <c r="AF169" s="237"/>
      <c r="AG169" s="238"/>
      <c r="AH169" s="239"/>
      <c r="AI169" s="239"/>
      <c r="AJ169" s="239"/>
      <c r="AK169" s="150"/>
    </row>
    <row r="170" spans="2:37" x14ac:dyDescent="0.2">
      <c r="B170" s="214" t="s">
        <v>367</v>
      </c>
      <c r="C170" s="214" t="s">
        <v>387</v>
      </c>
      <c r="D170" s="215" t="s">
        <v>388</v>
      </c>
      <c r="E170" s="216" t="s">
        <v>527</v>
      </c>
      <c r="F170" s="217"/>
      <c r="G170" s="218"/>
      <c r="H170" s="218"/>
      <c r="I170" s="220"/>
      <c r="J170" s="220"/>
      <c r="K170" s="219"/>
      <c r="L170" s="221"/>
      <c r="M170" s="221"/>
      <c r="N170" s="222"/>
      <c r="O170" s="224"/>
      <c r="P170" s="223"/>
      <c r="Q170" s="221"/>
      <c r="R170" s="225"/>
      <c r="S170" s="226"/>
      <c r="T170" s="235"/>
      <c r="U170" s="235"/>
      <c r="V170" s="226"/>
      <c r="W170" s="218"/>
      <c r="X170" s="224"/>
      <c r="Y170" s="218"/>
      <c r="Z170" s="219"/>
      <c r="AA170" s="226"/>
      <c r="AB170" s="227"/>
      <c r="AC170" s="226"/>
      <c r="AD170" s="228"/>
      <c r="AE170" s="226"/>
      <c r="AF170" s="229"/>
      <c r="AG170" s="230"/>
      <c r="AH170" s="231"/>
      <c r="AI170" s="231"/>
      <c r="AJ170" s="231"/>
      <c r="AK170" s="150"/>
    </row>
    <row r="171" spans="2:37" x14ac:dyDescent="0.2">
      <c r="B171" s="214" t="s">
        <v>390</v>
      </c>
      <c r="C171" s="214" t="s">
        <v>391</v>
      </c>
      <c r="D171" s="215" t="s">
        <v>1026</v>
      </c>
      <c r="E171" s="216" t="s">
        <v>199</v>
      </c>
      <c r="F171" s="217"/>
      <c r="G171" s="218"/>
      <c r="H171" s="218"/>
      <c r="I171" s="220"/>
      <c r="J171" s="220"/>
      <c r="K171" s="219"/>
      <c r="L171" s="221"/>
      <c r="M171" s="221"/>
      <c r="N171" s="222"/>
      <c r="O171" s="221"/>
      <c r="P171" s="223"/>
      <c r="Q171" s="224"/>
      <c r="R171" s="225"/>
      <c r="S171" s="226"/>
      <c r="T171" s="226"/>
      <c r="U171" s="226"/>
      <c r="V171" s="226"/>
      <c r="W171" s="218"/>
      <c r="X171" s="224"/>
      <c r="Y171" s="218"/>
      <c r="Z171" s="219"/>
      <c r="AA171" s="226"/>
      <c r="AB171" s="227"/>
      <c r="AC171" s="226"/>
      <c r="AD171" s="228"/>
      <c r="AE171" s="226"/>
      <c r="AF171" s="229"/>
      <c r="AG171" s="230"/>
      <c r="AH171" s="231"/>
      <c r="AI171" s="231"/>
      <c r="AJ171" s="231"/>
      <c r="AK171" s="150"/>
    </row>
    <row r="172" spans="2:37" x14ac:dyDescent="0.2">
      <c r="B172" s="214" t="s">
        <v>390</v>
      </c>
      <c r="C172" s="214" t="s">
        <v>391</v>
      </c>
      <c r="D172" s="215" t="s">
        <v>394</v>
      </c>
      <c r="E172" s="216" t="s">
        <v>199</v>
      </c>
      <c r="F172" s="233"/>
      <c r="G172" s="218"/>
      <c r="H172" s="218"/>
      <c r="I172" s="220"/>
      <c r="J172" s="220"/>
      <c r="K172" s="219"/>
      <c r="L172" s="221"/>
      <c r="M172" s="221"/>
      <c r="N172" s="222"/>
      <c r="O172" s="221"/>
      <c r="P172" s="223"/>
      <c r="Q172" s="221"/>
      <c r="R172" s="225"/>
      <c r="S172" s="226"/>
      <c r="T172" s="235"/>
      <c r="U172" s="235"/>
      <c r="V172" s="226"/>
      <c r="W172" s="220"/>
      <c r="X172" s="224"/>
      <c r="Y172" s="220"/>
      <c r="Z172" s="219"/>
      <c r="AA172" s="226"/>
      <c r="AB172" s="227"/>
      <c r="AC172" s="226"/>
      <c r="AD172" s="228"/>
      <c r="AE172" s="226"/>
      <c r="AF172" s="229"/>
      <c r="AG172" s="230"/>
      <c r="AH172" s="231"/>
      <c r="AI172" s="231"/>
      <c r="AJ172" s="231"/>
      <c r="AK172" s="150"/>
    </row>
    <row r="173" spans="2:37" x14ac:dyDescent="0.2">
      <c r="B173" s="214" t="s">
        <v>390</v>
      </c>
      <c r="C173" s="214" t="s">
        <v>391</v>
      </c>
      <c r="D173" s="215" t="s">
        <v>395</v>
      </c>
      <c r="E173" s="216" t="s">
        <v>199</v>
      </c>
      <c r="F173" s="233"/>
      <c r="G173" s="218"/>
      <c r="H173" s="218"/>
      <c r="I173" s="220"/>
      <c r="J173" s="220"/>
      <c r="K173" s="219"/>
      <c r="L173" s="221"/>
      <c r="M173" s="221"/>
      <c r="N173" s="222"/>
      <c r="O173" s="221"/>
      <c r="P173" s="223"/>
      <c r="Q173" s="221"/>
      <c r="R173" s="234"/>
      <c r="S173" s="235"/>
      <c r="T173" s="235"/>
      <c r="U173" s="235"/>
      <c r="V173" s="235"/>
      <c r="W173" s="220"/>
      <c r="X173" s="221"/>
      <c r="Y173" s="220"/>
      <c r="Z173" s="222"/>
      <c r="AA173" s="235"/>
      <c r="AB173" s="236"/>
      <c r="AC173" s="226"/>
      <c r="AD173" s="223"/>
      <c r="AE173" s="235"/>
      <c r="AF173" s="237"/>
      <c r="AG173" s="238"/>
      <c r="AH173" s="239"/>
      <c r="AI173" s="239"/>
      <c r="AJ173" s="239"/>
      <c r="AK173" s="150"/>
    </row>
    <row r="174" spans="2:37" x14ac:dyDescent="0.2">
      <c r="B174" s="214" t="s">
        <v>390</v>
      </c>
      <c r="C174" s="214" t="s">
        <v>391</v>
      </c>
      <c r="D174" s="232" t="s">
        <v>396</v>
      </c>
      <c r="E174" s="216" t="s">
        <v>199</v>
      </c>
      <c r="F174" s="233"/>
      <c r="G174" s="218"/>
      <c r="H174" s="218"/>
      <c r="I174" s="220"/>
      <c r="J174" s="220"/>
      <c r="K174" s="219"/>
      <c r="L174" s="221"/>
      <c r="M174" s="221"/>
      <c r="N174" s="222"/>
      <c r="O174" s="221"/>
      <c r="P174" s="223"/>
      <c r="Q174" s="221"/>
      <c r="R174" s="225"/>
      <c r="S174" s="226"/>
      <c r="T174" s="226"/>
      <c r="U174" s="235"/>
      <c r="V174" s="226"/>
      <c r="W174" s="220"/>
      <c r="X174" s="224"/>
      <c r="Y174" s="220"/>
      <c r="Z174" s="219"/>
      <c r="AA174" s="226"/>
      <c r="AB174" s="227"/>
      <c r="AC174" s="226"/>
      <c r="AD174" s="223"/>
      <c r="AE174" s="235"/>
      <c r="AF174" s="229"/>
      <c r="AG174" s="230"/>
      <c r="AH174" s="231"/>
      <c r="AI174" s="239"/>
      <c r="AJ174" s="231"/>
      <c r="AK174" s="150"/>
    </row>
    <row r="175" spans="2:37" x14ac:dyDescent="0.2">
      <c r="B175" s="214" t="s">
        <v>390</v>
      </c>
      <c r="C175" s="214" t="s">
        <v>397</v>
      </c>
      <c r="D175" s="215" t="s">
        <v>538</v>
      </c>
      <c r="E175" s="216" t="s">
        <v>199</v>
      </c>
      <c r="F175" s="233"/>
      <c r="G175" s="218"/>
      <c r="H175" s="218"/>
      <c r="I175" s="220"/>
      <c r="J175" s="220"/>
      <c r="K175" s="219"/>
      <c r="L175" s="221"/>
      <c r="M175" s="221"/>
      <c r="N175" s="222"/>
      <c r="O175" s="221"/>
      <c r="P175" s="223"/>
      <c r="Q175" s="221"/>
      <c r="R175" s="225"/>
      <c r="S175" s="226"/>
      <c r="T175" s="235"/>
      <c r="U175" s="235"/>
      <c r="V175" s="235"/>
      <c r="W175" s="220"/>
      <c r="X175" s="221"/>
      <c r="Y175" s="218"/>
      <c r="Z175" s="219"/>
      <c r="AA175" s="226"/>
      <c r="AB175" s="227"/>
      <c r="AC175" s="226"/>
      <c r="AD175" s="228"/>
      <c r="AE175" s="226"/>
      <c r="AF175" s="237"/>
      <c r="AG175" s="230"/>
      <c r="AH175" s="231"/>
      <c r="AI175" s="231"/>
      <c r="AJ175" s="239"/>
      <c r="AK175" s="150"/>
    </row>
    <row r="176" spans="2:37" x14ac:dyDescent="0.2">
      <c r="B176" s="214" t="s">
        <v>390</v>
      </c>
      <c r="C176" s="214" t="s">
        <v>391</v>
      </c>
      <c r="D176" s="215" t="s">
        <v>398</v>
      </c>
      <c r="E176" s="216" t="s">
        <v>199</v>
      </c>
      <c r="F176" s="233"/>
      <c r="G176" s="218"/>
      <c r="H176" s="220"/>
      <c r="I176" s="220"/>
      <c r="J176" s="220"/>
      <c r="K176" s="222"/>
      <c r="L176" s="221"/>
      <c r="M176" s="221"/>
      <c r="N176" s="222"/>
      <c r="O176" s="221"/>
      <c r="P176" s="223"/>
      <c r="Q176" s="221"/>
      <c r="R176" s="225"/>
      <c r="S176" s="226"/>
      <c r="T176" s="235"/>
      <c r="U176" s="235"/>
      <c r="V176" s="235"/>
      <c r="W176" s="220"/>
      <c r="X176" s="221"/>
      <c r="Y176" s="218"/>
      <c r="Z176" s="219"/>
      <c r="AA176" s="226"/>
      <c r="AB176" s="227"/>
      <c r="AC176" s="226"/>
      <c r="AD176" s="228"/>
      <c r="AE176" s="226"/>
      <c r="AF176" s="237"/>
      <c r="AG176" s="238"/>
      <c r="AH176" s="239"/>
      <c r="AI176" s="239"/>
      <c r="AJ176" s="239"/>
      <c r="AK176" s="150"/>
    </row>
    <row r="177" spans="2:37" x14ac:dyDescent="0.2">
      <c r="B177" s="214" t="s">
        <v>390</v>
      </c>
      <c r="C177" s="214" t="s">
        <v>391</v>
      </c>
      <c r="D177" s="215" t="s">
        <v>399</v>
      </c>
      <c r="E177" s="216" t="s">
        <v>199</v>
      </c>
      <c r="F177" s="217"/>
      <c r="G177" s="218"/>
      <c r="H177" s="218"/>
      <c r="I177" s="220"/>
      <c r="J177" s="220"/>
      <c r="K177" s="219"/>
      <c r="L177" s="221"/>
      <c r="M177" s="221"/>
      <c r="N177" s="222"/>
      <c r="O177" s="221"/>
      <c r="P177" s="223"/>
      <c r="Q177" s="224"/>
      <c r="R177" s="225"/>
      <c r="S177" s="226"/>
      <c r="T177" s="235"/>
      <c r="U177" s="235"/>
      <c r="V177" s="226"/>
      <c r="W177" s="218"/>
      <c r="X177" s="224"/>
      <c r="Y177" s="218"/>
      <c r="Z177" s="219"/>
      <c r="AA177" s="226"/>
      <c r="AB177" s="227"/>
      <c r="AC177" s="226"/>
      <c r="AD177" s="228"/>
      <c r="AE177" s="226"/>
      <c r="AF177" s="229"/>
      <c r="AG177" s="230"/>
      <c r="AH177" s="231"/>
      <c r="AI177" s="231"/>
      <c r="AJ177" s="231"/>
      <c r="AK177" s="150"/>
    </row>
    <row r="178" spans="2:37" x14ac:dyDescent="0.2">
      <c r="B178" s="214" t="s">
        <v>390</v>
      </c>
      <c r="C178" s="214" t="s">
        <v>391</v>
      </c>
      <c r="D178" s="215" t="s">
        <v>400</v>
      </c>
      <c r="E178" s="216" t="s">
        <v>199</v>
      </c>
      <c r="F178" s="217"/>
      <c r="G178" s="218"/>
      <c r="H178" s="218"/>
      <c r="I178" s="220"/>
      <c r="J178" s="220"/>
      <c r="K178" s="219"/>
      <c r="L178" s="221"/>
      <c r="M178" s="221"/>
      <c r="N178" s="222"/>
      <c r="O178" s="224"/>
      <c r="P178" s="223"/>
      <c r="Q178" s="224"/>
      <c r="R178" s="225"/>
      <c r="S178" s="226"/>
      <c r="T178" s="226"/>
      <c r="U178" s="235"/>
      <c r="V178" s="226"/>
      <c r="W178" s="220"/>
      <c r="X178" s="224"/>
      <c r="Y178" s="220"/>
      <c r="Z178" s="219"/>
      <c r="AA178" s="226"/>
      <c r="AB178" s="227"/>
      <c r="AC178" s="226"/>
      <c r="AD178" s="228"/>
      <c r="AE178" s="226"/>
      <c r="AF178" s="229"/>
      <c r="AG178" s="230"/>
      <c r="AH178" s="231"/>
      <c r="AI178" s="231"/>
      <c r="AJ178" s="231"/>
      <c r="AK178" s="150"/>
    </row>
    <row r="179" spans="2:37" x14ac:dyDescent="0.2">
      <c r="B179" s="214" t="s">
        <v>390</v>
      </c>
      <c r="C179" s="214" t="s">
        <v>401</v>
      </c>
      <c r="D179" s="232" t="s">
        <v>402</v>
      </c>
      <c r="E179" s="216" t="s">
        <v>199</v>
      </c>
      <c r="F179" s="233"/>
      <c r="G179" s="218"/>
      <c r="H179" s="218"/>
      <c r="I179" s="220"/>
      <c r="J179" s="220"/>
      <c r="K179" s="219"/>
      <c r="L179" s="221"/>
      <c r="M179" s="221"/>
      <c r="N179" s="222"/>
      <c r="O179" s="221"/>
      <c r="P179" s="223"/>
      <c r="Q179" s="221"/>
      <c r="R179" s="225"/>
      <c r="S179" s="226"/>
      <c r="T179" s="235"/>
      <c r="U179" s="235"/>
      <c r="V179" s="226"/>
      <c r="W179" s="218"/>
      <c r="X179" s="224"/>
      <c r="Y179" s="218"/>
      <c r="Z179" s="219"/>
      <c r="AA179" s="226"/>
      <c r="AB179" s="227"/>
      <c r="AC179" s="226"/>
      <c r="AD179" s="228"/>
      <c r="AE179" s="226"/>
      <c r="AF179" s="229"/>
      <c r="AG179" s="230"/>
      <c r="AH179" s="231"/>
      <c r="AI179" s="231"/>
      <c r="AJ179" s="231"/>
    </row>
    <row r="180" spans="2:37" x14ac:dyDescent="0.2">
      <c r="B180" s="214" t="s">
        <v>390</v>
      </c>
      <c r="C180" s="214" t="s">
        <v>401</v>
      </c>
      <c r="D180" s="215" t="s">
        <v>404</v>
      </c>
      <c r="E180" s="216" t="s">
        <v>135</v>
      </c>
      <c r="F180" s="217"/>
      <c r="G180" s="218"/>
      <c r="H180" s="218"/>
      <c r="I180" s="220"/>
      <c r="J180" s="220"/>
      <c r="K180" s="219"/>
      <c r="L180" s="221"/>
      <c r="M180" s="221"/>
      <c r="N180" s="222"/>
      <c r="O180" s="221"/>
      <c r="P180" s="223"/>
      <c r="Q180" s="221"/>
      <c r="R180" s="225"/>
      <c r="S180" s="226"/>
      <c r="T180" s="235"/>
      <c r="U180" s="235"/>
      <c r="V180" s="226"/>
      <c r="W180" s="220"/>
      <c r="X180" s="224"/>
      <c r="Y180" s="220"/>
      <c r="Z180" s="219"/>
      <c r="AA180" s="226"/>
      <c r="AB180" s="227"/>
      <c r="AC180" s="226"/>
      <c r="AD180" s="228"/>
      <c r="AE180" s="226"/>
      <c r="AF180" s="229"/>
      <c r="AG180" s="230"/>
      <c r="AH180" s="231"/>
      <c r="AI180" s="231"/>
      <c r="AJ180" s="231"/>
    </row>
    <row r="181" spans="2:37" x14ac:dyDescent="0.2">
      <c r="B181" s="214" t="s">
        <v>390</v>
      </c>
      <c r="C181" s="214" t="s">
        <v>401</v>
      </c>
      <c r="D181" s="215" t="s">
        <v>405</v>
      </c>
      <c r="E181" s="216" t="s">
        <v>199</v>
      </c>
      <c r="F181" s="233"/>
      <c r="G181" s="218"/>
      <c r="H181" s="218"/>
      <c r="I181" s="220"/>
      <c r="J181" s="220"/>
      <c r="K181" s="219"/>
      <c r="L181" s="221"/>
      <c r="M181" s="221"/>
      <c r="N181" s="222"/>
      <c r="O181" s="221"/>
      <c r="P181" s="223"/>
      <c r="Q181" s="221"/>
      <c r="R181" s="225"/>
      <c r="S181" s="226"/>
      <c r="T181" s="235"/>
      <c r="U181" s="235"/>
      <c r="V181" s="226"/>
      <c r="W181" s="220"/>
      <c r="X181" s="224"/>
      <c r="Y181" s="220"/>
      <c r="Z181" s="219"/>
      <c r="AA181" s="226"/>
      <c r="AB181" s="227"/>
      <c r="AC181" s="226"/>
      <c r="AD181" s="228"/>
      <c r="AE181" s="226"/>
      <c r="AF181" s="229"/>
      <c r="AG181" s="230"/>
      <c r="AH181" s="231"/>
      <c r="AI181" s="231"/>
      <c r="AJ181" s="231"/>
      <c r="AK181" s="171"/>
    </row>
    <row r="182" spans="2:37" x14ac:dyDescent="0.2">
      <c r="B182" s="214" t="s">
        <v>390</v>
      </c>
      <c r="C182" s="214" t="s">
        <v>401</v>
      </c>
      <c r="D182" s="215" t="s">
        <v>407</v>
      </c>
      <c r="E182" s="216" t="s">
        <v>199</v>
      </c>
      <c r="F182" s="233"/>
      <c r="G182" s="218"/>
      <c r="H182" s="218"/>
      <c r="I182" s="219"/>
      <c r="J182" s="220"/>
      <c r="K182" s="219"/>
      <c r="L182" s="221"/>
      <c r="M182" s="221"/>
      <c r="N182" s="222"/>
      <c r="O182" s="224"/>
      <c r="P182" s="223"/>
      <c r="Q182" s="224"/>
      <c r="R182" s="225"/>
      <c r="S182" s="226"/>
      <c r="T182" s="235"/>
      <c r="U182" s="235"/>
      <c r="V182" s="226"/>
      <c r="W182" s="218"/>
      <c r="X182" s="224"/>
      <c r="Y182" s="218"/>
      <c r="Z182" s="219"/>
      <c r="AA182" s="226"/>
      <c r="AB182" s="227"/>
      <c r="AC182" s="226"/>
      <c r="AD182" s="228"/>
      <c r="AE182" s="226"/>
      <c r="AF182" s="229"/>
      <c r="AG182" s="230"/>
      <c r="AH182" s="231"/>
      <c r="AI182" s="231"/>
      <c r="AJ182" s="231"/>
    </row>
    <row r="183" spans="2:37" x14ac:dyDescent="0.2">
      <c r="B183" s="214" t="s">
        <v>390</v>
      </c>
      <c r="C183" s="214" t="s">
        <v>401</v>
      </c>
      <c r="D183" s="232" t="s">
        <v>408</v>
      </c>
      <c r="E183" s="216" t="s">
        <v>199</v>
      </c>
      <c r="F183" s="233"/>
      <c r="G183" s="218"/>
      <c r="H183" s="218"/>
      <c r="I183" s="220"/>
      <c r="J183" s="220"/>
      <c r="K183" s="219"/>
      <c r="L183" s="221"/>
      <c r="M183" s="221"/>
      <c r="N183" s="222"/>
      <c r="O183" s="221"/>
      <c r="P183" s="223"/>
      <c r="Q183" s="221"/>
      <c r="R183" s="225"/>
      <c r="S183" s="226"/>
      <c r="T183" s="235"/>
      <c r="U183" s="235"/>
      <c r="V183" s="226"/>
      <c r="W183" s="220"/>
      <c r="X183" s="224"/>
      <c r="Y183" s="220"/>
      <c r="Z183" s="219"/>
      <c r="AA183" s="226"/>
      <c r="AB183" s="227"/>
      <c r="AC183" s="226"/>
      <c r="AD183" s="228"/>
      <c r="AE183" s="226"/>
      <c r="AF183" s="229"/>
      <c r="AG183" s="230"/>
      <c r="AH183" s="231"/>
      <c r="AI183" s="231"/>
      <c r="AJ183" s="231"/>
    </row>
    <row r="184" spans="2:37" x14ac:dyDescent="0.2">
      <c r="B184" s="214" t="s">
        <v>409</v>
      </c>
      <c r="C184" s="214" t="s">
        <v>410</v>
      </c>
      <c r="D184" s="232" t="s">
        <v>411</v>
      </c>
      <c r="E184" s="216" t="s">
        <v>66</v>
      </c>
      <c r="F184" s="217"/>
      <c r="G184" s="218"/>
      <c r="H184" s="218"/>
      <c r="I184" s="220"/>
      <c r="J184" s="218"/>
      <c r="K184" s="219"/>
      <c r="L184" s="221"/>
      <c r="M184" s="221"/>
      <c r="N184" s="222"/>
      <c r="O184" s="221"/>
      <c r="P184" s="223"/>
      <c r="Q184" s="224"/>
      <c r="R184" s="225"/>
      <c r="S184" s="226"/>
      <c r="T184" s="226"/>
      <c r="U184" s="226"/>
      <c r="V184" s="226"/>
      <c r="W184" s="220"/>
      <c r="X184" s="224"/>
      <c r="Y184" s="220"/>
      <c r="Z184" s="219"/>
      <c r="AA184" s="226"/>
      <c r="AB184" s="227"/>
      <c r="AC184" s="226"/>
      <c r="AD184" s="228"/>
      <c r="AE184" s="226"/>
      <c r="AF184" s="229"/>
      <c r="AG184" s="230"/>
      <c r="AH184" s="231"/>
      <c r="AI184" s="231"/>
      <c r="AJ184" s="231"/>
    </row>
    <row r="185" spans="2:37" x14ac:dyDescent="0.2">
      <c r="B185" s="214" t="s">
        <v>409</v>
      </c>
      <c r="C185" s="214" t="s">
        <v>413</v>
      </c>
      <c r="D185" s="232" t="s">
        <v>414</v>
      </c>
      <c r="E185" s="216" t="s">
        <v>71</v>
      </c>
      <c r="F185" s="233"/>
      <c r="G185" s="218"/>
      <c r="H185" s="218"/>
      <c r="I185" s="220"/>
      <c r="J185" s="220"/>
      <c r="K185" s="219"/>
      <c r="L185" s="221"/>
      <c r="M185" s="221"/>
      <c r="N185" s="222"/>
      <c r="O185" s="221"/>
      <c r="P185" s="223"/>
      <c r="Q185" s="221"/>
      <c r="R185" s="225"/>
      <c r="S185" s="226"/>
      <c r="T185" s="226"/>
      <c r="U185" s="226"/>
      <c r="V185" s="226"/>
      <c r="W185" s="220"/>
      <c r="X185" s="224"/>
      <c r="Y185" s="220"/>
      <c r="Z185" s="219"/>
      <c r="AA185" s="226"/>
      <c r="AB185" s="227"/>
      <c r="AC185" s="226"/>
      <c r="AD185" s="228"/>
      <c r="AE185" s="226"/>
      <c r="AF185" s="229"/>
      <c r="AG185" s="230"/>
      <c r="AH185" s="231"/>
      <c r="AI185" s="231"/>
      <c r="AJ185" s="231"/>
    </row>
    <row r="186" spans="2:37" x14ac:dyDescent="0.2">
      <c r="B186" s="214" t="s">
        <v>409</v>
      </c>
      <c r="C186" s="214" t="s">
        <v>416</v>
      </c>
      <c r="D186" s="232" t="s">
        <v>417</v>
      </c>
      <c r="E186" s="216" t="s">
        <v>552</v>
      </c>
      <c r="F186" s="233"/>
      <c r="G186" s="218"/>
      <c r="H186" s="218"/>
      <c r="I186" s="220"/>
      <c r="J186" s="220"/>
      <c r="K186" s="219"/>
      <c r="L186" s="221"/>
      <c r="M186" s="224"/>
      <c r="N186" s="219"/>
      <c r="O186" s="224"/>
      <c r="P186" s="223"/>
      <c r="Q186" s="224"/>
      <c r="R186" s="225"/>
      <c r="S186" s="226"/>
      <c r="T186" s="235"/>
      <c r="U186" s="235"/>
      <c r="V186" s="226"/>
      <c r="W186" s="218"/>
      <c r="X186" s="224"/>
      <c r="Y186" s="218"/>
      <c r="Z186" s="219"/>
      <c r="AA186" s="226"/>
      <c r="AB186" s="227"/>
      <c r="AC186" s="226"/>
      <c r="AD186" s="223"/>
      <c r="AE186" s="235"/>
      <c r="AF186" s="229"/>
      <c r="AG186" s="230"/>
      <c r="AH186" s="231"/>
      <c r="AI186" s="239"/>
      <c r="AJ186" s="231"/>
    </row>
    <row r="187" spans="2:37" x14ac:dyDescent="0.2">
      <c r="B187" s="214" t="s">
        <v>409</v>
      </c>
      <c r="C187" s="214" t="s">
        <v>419</v>
      </c>
      <c r="D187" s="232" t="s">
        <v>420</v>
      </c>
      <c r="E187" s="216" t="s">
        <v>162</v>
      </c>
      <c r="F187" s="233"/>
      <c r="G187" s="218"/>
      <c r="H187" s="218"/>
      <c r="I187" s="220"/>
      <c r="J187" s="220"/>
      <c r="K187" s="219"/>
      <c r="L187" s="221"/>
      <c r="M187" s="221"/>
      <c r="N187" s="222"/>
      <c r="O187" s="221"/>
      <c r="P187" s="223"/>
      <c r="Q187" s="221"/>
      <c r="R187" s="234"/>
      <c r="S187" s="235"/>
      <c r="T187" s="235"/>
      <c r="U187" s="235"/>
      <c r="V187" s="235"/>
      <c r="W187" s="220"/>
      <c r="X187" s="224"/>
      <c r="Y187" s="220"/>
      <c r="Z187" s="222"/>
      <c r="AA187" s="235"/>
      <c r="AB187" s="236"/>
      <c r="AC187" s="226"/>
      <c r="AD187" s="223"/>
      <c r="AE187" s="235"/>
      <c r="AF187" s="237"/>
      <c r="AG187" s="238"/>
      <c r="AH187" s="239"/>
      <c r="AI187" s="239"/>
      <c r="AJ187" s="239"/>
    </row>
    <row r="188" spans="2:37" x14ac:dyDescent="0.2">
      <c r="B188" s="214" t="s">
        <v>409</v>
      </c>
      <c r="C188" s="214" t="s">
        <v>421</v>
      </c>
      <c r="D188" s="232" t="s">
        <v>422</v>
      </c>
      <c r="E188" s="216" t="s">
        <v>96</v>
      </c>
      <c r="F188" s="217"/>
      <c r="G188" s="218"/>
      <c r="H188" s="218"/>
      <c r="I188" s="219"/>
      <c r="J188" s="218"/>
      <c r="K188" s="219"/>
      <c r="L188" s="221"/>
      <c r="M188" s="221"/>
      <c r="N188" s="222"/>
      <c r="O188" s="221"/>
      <c r="P188" s="228"/>
      <c r="Q188" s="224"/>
      <c r="R188" s="225"/>
      <c r="S188" s="226"/>
      <c r="T188" s="226"/>
      <c r="U188" s="226"/>
      <c r="V188" s="226"/>
      <c r="W188" s="218"/>
      <c r="X188" s="224"/>
      <c r="Y188" s="218"/>
      <c r="Z188" s="219"/>
      <c r="AA188" s="226"/>
      <c r="AB188" s="227"/>
      <c r="AC188" s="226"/>
      <c r="AD188" s="228"/>
      <c r="AE188" s="226"/>
      <c r="AF188" s="229"/>
      <c r="AG188" s="230"/>
      <c r="AH188" s="231"/>
      <c r="AI188" s="239"/>
      <c r="AJ188" s="231"/>
    </row>
    <row r="189" spans="2:37" x14ac:dyDescent="0.2">
      <c r="B189" s="214" t="s">
        <v>409</v>
      </c>
      <c r="C189" s="214" t="s">
        <v>423</v>
      </c>
      <c r="D189" s="232" t="s">
        <v>424</v>
      </c>
      <c r="E189" s="216" t="s">
        <v>83</v>
      </c>
      <c r="F189" s="217"/>
      <c r="G189" s="218"/>
      <c r="H189" s="218"/>
      <c r="I189" s="219"/>
      <c r="J189" s="218"/>
      <c r="K189" s="219"/>
      <c r="L189" s="221"/>
      <c r="M189" s="221"/>
      <c r="N189" s="222"/>
      <c r="O189" s="224"/>
      <c r="P189" s="223"/>
      <c r="Q189" s="224"/>
      <c r="R189" s="225"/>
      <c r="S189" s="235"/>
      <c r="T189" s="235"/>
      <c r="U189" s="235"/>
      <c r="V189" s="226"/>
      <c r="W189" s="220"/>
      <c r="X189" s="224"/>
      <c r="Y189" s="220"/>
      <c r="Z189" s="222"/>
      <c r="AA189" s="235"/>
      <c r="AB189" s="227"/>
      <c r="AC189" s="226"/>
      <c r="AD189" s="228"/>
      <c r="AE189" s="226"/>
      <c r="AF189" s="237"/>
      <c r="AG189" s="238"/>
      <c r="AH189" s="239"/>
      <c r="AI189" s="239"/>
      <c r="AJ189" s="239"/>
      <c r="AK189" s="171"/>
    </row>
    <row r="190" spans="2:37" x14ac:dyDescent="0.2">
      <c r="B190" s="214" t="s">
        <v>409</v>
      </c>
      <c r="C190" s="214" t="s">
        <v>426</v>
      </c>
      <c r="D190" s="232" t="s">
        <v>427</v>
      </c>
      <c r="E190" s="216" t="s">
        <v>418</v>
      </c>
      <c r="F190" s="217"/>
      <c r="G190" s="218"/>
      <c r="H190" s="218"/>
      <c r="I190" s="220"/>
      <c r="J190" s="218"/>
      <c r="K190" s="219"/>
      <c r="L190" s="221"/>
      <c r="M190" s="224"/>
      <c r="N190" s="219"/>
      <c r="O190" s="224"/>
      <c r="P190" s="223"/>
      <c r="Q190" s="224"/>
      <c r="R190" s="225"/>
      <c r="S190" s="235"/>
      <c r="T190" s="226"/>
      <c r="U190" s="226"/>
      <c r="V190" s="226"/>
      <c r="W190" s="218"/>
      <c r="X190" s="224"/>
      <c r="Y190" s="218"/>
      <c r="Z190" s="222"/>
      <c r="AA190" s="235"/>
      <c r="AB190" s="227"/>
      <c r="AC190" s="226"/>
      <c r="AD190" s="223"/>
      <c r="AE190" s="235"/>
      <c r="AF190" s="237"/>
      <c r="AG190" s="238"/>
      <c r="AH190" s="239"/>
      <c r="AI190" s="239"/>
      <c r="AJ190" s="239"/>
    </row>
    <row r="191" spans="2:37" ht="17.25" customHeight="1" x14ac:dyDescent="0.2">
      <c r="B191" s="214" t="s">
        <v>409</v>
      </c>
      <c r="C191" s="214" t="s">
        <v>428</v>
      </c>
      <c r="D191" s="244" t="s">
        <v>429</v>
      </c>
      <c r="E191" s="216" t="s">
        <v>418</v>
      </c>
      <c r="F191" s="217"/>
      <c r="G191" s="218"/>
      <c r="H191" s="218"/>
      <c r="I191" s="220"/>
      <c r="J191" s="218"/>
      <c r="K191" s="219"/>
      <c r="L191" s="221"/>
      <c r="M191" s="224"/>
      <c r="N191" s="219"/>
      <c r="O191" s="224"/>
      <c r="P191" s="223"/>
      <c r="Q191" s="224"/>
      <c r="R191" s="225"/>
      <c r="S191" s="235"/>
      <c r="T191" s="235"/>
      <c r="U191" s="226"/>
      <c r="V191" s="235"/>
      <c r="W191" s="220"/>
      <c r="X191" s="221"/>
      <c r="Y191" s="218"/>
      <c r="Z191" s="222"/>
      <c r="AA191" s="235"/>
      <c r="AB191" s="227"/>
      <c r="AC191" s="226"/>
      <c r="AD191" s="223"/>
      <c r="AE191" s="235"/>
      <c r="AF191" s="237"/>
      <c r="AG191" s="238"/>
      <c r="AH191" s="239"/>
      <c r="AI191" s="239"/>
      <c r="AJ191" s="239"/>
    </row>
    <row r="192" spans="2:37" ht="17.25" customHeight="1" x14ac:dyDescent="0.2">
      <c r="B192" s="214" t="s">
        <v>409</v>
      </c>
      <c r="C192" s="214" t="s">
        <v>430</v>
      </c>
      <c r="D192" s="232" t="s">
        <v>568</v>
      </c>
      <c r="E192" s="216" t="s">
        <v>199</v>
      </c>
      <c r="F192" s="217"/>
      <c r="G192" s="218"/>
      <c r="H192" s="218"/>
      <c r="I192" s="220"/>
      <c r="J192" s="220"/>
      <c r="K192" s="219"/>
      <c r="L192" s="224"/>
      <c r="M192" s="224"/>
      <c r="N192" s="219"/>
      <c r="O192" s="224"/>
      <c r="P192" s="223"/>
      <c r="Q192" s="224"/>
      <c r="R192" s="225"/>
      <c r="S192" s="226"/>
      <c r="T192" s="226"/>
      <c r="U192" s="226"/>
      <c r="V192" s="226"/>
      <c r="W192" s="220"/>
      <c r="X192" s="224"/>
      <c r="Y192" s="220"/>
      <c r="Z192" s="219"/>
      <c r="AA192" s="226"/>
      <c r="AB192" s="227"/>
      <c r="AC192" s="226"/>
      <c r="AD192" s="223"/>
      <c r="AE192" s="235"/>
      <c r="AF192" s="229"/>
      <c r="AG192" s="230"/>
      <c r="AH192" s="231"/>
      <c r="AI192" s="239"/>
      <c r="AJ192" s="231"/>
    </row>
    <row r="193" spans="2:37" ht="14.25" customHeight="1" x14ac:dyDescent="0.2">
      <c r="B193" s="214" t="s">
        <v>409</v>
      </c>
      <c r="C193" s="214" t="s">
        <v>430</v>
      </c>
      <c r="D193" s="232" t="s">
        <v>431</v>
      </c>
      <c r="E193" s="216" t="s">
        <v>199</v>
      </c>
      <c r="F193" s="233"/>
      <c r="G193" s="218"/>
      <c r="H193" s="218"/>
      <c r="I193" s="220"/>
      <c r="J193" s="220"/>
      <c r="K193" s="219"/>
      <c r="L193" s="221"/>
      <c r="M193" s="224"/>
      <c r="N193" s="219"/>
      <c r="O193" s="221"/>
      <c r="P193" s="223"/>
      <c r="Q193" s="224"/>
      <c r="R193" s="225"/>
      <c r="S193" s="226"/>
      <c r="T193" s="226"/>
      <c r="U193" s="226"/>
      <c r="V193" s="226"/>
      <c r="W193" s="218"/>
      <c r="X193" s="224"/>
      <c r="Y193" s="218"/>
      <c r="Z193" s="219"/>
      <c r="AA193" s="226"/>
      <c r="AB193" s="227"/>
      <c r="AC193" s="226"/>
      <c r="AD193" s="223"/>
      <c r="AE193" s="235"/>
      <c r="AF193" s="237"/>
      <c r="AG193" s="238"/>
      <c r="AH193" s="239"/>
      <c r="AI193" s="239"/>
      <c r="AJ193" s="239"/>
    </row>
    <row r="194" spans="2:37" ht="14.25" customHeight="1" x14ac:dyDescent="0.2">
      <c r="B194" s="214" t="s">
        <v>409</v>
      </c>
      <c r="C194" s="214" t="s">
        <v>430</v>
      </c>
      <c r="D194" s="232" t="s">
        <v>432</v>
      </c>
      <c r="E194" s="216" t="s">
        <v>199</v>
      </c>
      <c r="F194" s="233"/>
      <c r="G194" s="218"/>
      <c r="H194" s="218"/>
      <c r="I194" s="220"/>
      <c r="J194" s="220"/>
      <c r="K194" s="219"/>
      <c r="L194" s="221"/>
      <c r="M194" s="224"/>
      <c r="N194" s="219"/>
      <c r="O194" s="221"/>
      <c r="P194" s="223"/>
      <c r="Q194" s="224"/>
      <c r="R194" s="225"/>
      <c r="S194" s="226"/>
      <c r="T194" s="226"/>
      <c r="U194" s="226"/>
      <c r="V194" s="226"/>
      <c r="W194" s="220"/>
      <c r="X194" s="224"/>
      <c r="Y194" s="220"/>
      <c r="Z194" s="219"/>
      <c r="AA194" s="226"/>
      <c r="AB194" s="227"/>
      <c r="AC194" s="226"/>
      <c r="AD194" s="223"/>
      <c r="AE194" s="235"/>
      <c r="AF194" s="237"/>
      <c r="AG194" s="238"/>
      <c r="AH194" s="239"/>
      <c r="AI194" s="239"/>
      <c r="AJ194" s="239"/>
    </row>
    <row r="195" spans="2:37" x14ac:dyDescent="0.2">
      <c r="B195" s="214" t="s">
        <v>433</v>
      </c>
      <c r="C195" s="214" t="s">
        <v>434</v>
      </c>
      <c r="D195" s="232" t="s">
        <v>435</v>
      </c>
      <c r="E195" s="216" t="s">
        <v>83</v>
      </c>
      <c r="F195" s="217"/>
      <c r="G195" s="218"/>
      <c r="H195" s="218"/>
      <c r="I195" s="219"/>
      <c r="J195" s="218"/>
      <c r="K195" s="219"/>
      <c r="L195" s="221"/>
      <c r="M195" s="221"/>
      <c r="N195" s="222"/>
      <c r="O195" s="221"/>
      <c r="P195" s="223"/>
      <c r="Q195" s="224"/>
      <c r="R195" s="225"/>
      <c r="S195" s="226"/>
      <c r="T195" s="226"/>
      <c r="U195" s="226"/>
      <c r="V195" s="226"/>
      <c r="W195" s="220"/>
      <c r="X195" s="224"/>
      <c r="Y195" s="220"/>
      <c r="Z195" s="219"/>
      <c r="AA195" s="226"/>
      <c r="AB195" s="227"/>
      <c r="AC195" s="226"/>
      <c r="AD195" s="228"/>
      <c r="AE195" s="226"/>
      <c r="AF195" s="229"/>
      <c r="AG195" s="230"/>
      <c r="AH195" s="231"/>
      <c r="AI195" s="231"/>
      <c r="AJ195" s="231"/>
    </row>
    <row r="196" spans="2:37" x14ac:dyDescent="0.2">
      <c r="B196" s="214" t="s">
        <v>433</v>
      </c>
      <c r="C196" s="214" t="s">
        <v>436</v>
      </c>
      <c r="D196" s="232" t="s">
        <v>437</v>
      </c>
      <c r="E196" s="216" t="s">
        <v>527</v>
      </c>
      <c r="F196" s="233"/>
      <c r="G196" s="218"/>
      <c r="H196" s="220"/>
      <c r="I196" s="220"/>
      <c r="J196" s="220"/>
      <c r="K196" s="222"/>
      <c r="L196" s="221"/>
      <c r="M196" s="221"/>
      <c r="N196" s="222"/>
      <c r="O196" s="221"/>
      <c r="P196" s="223"/>
      <c r="Q196" s="221"/>
      <c r="R196" s="234"/>
      <c r="S196" s="235"/>
      <c r="T196" s="235"/>
      <c r="U196" s="235"/>
      <c r="V196" s="235"/>
      <c r="W196" s="220"/>
      <c r="X196" s="221"/>
      <c r="Y196" s="220"/>
      <c r="Z196" s="222"/>
      <c r="AA196" s="235"/>
      <c r="AB196" s="236"/>
      <c r="AC196" s="226"/>
      <c r="AD196" s="223"/>
      <c r="AE196" s="235"/>
      <c r="AF196" s="237"/>
      <c r="AG196" s="238"/>
      <c r="AH196" s="239"/>
      <c r="AI196" s="239"/>
      <c r="AJ196" s="239"/>
    </row>
    <row r="197" spans="2:37" x14ac:dyDescent="0.2">
      <c r="B197" s="214" t="s">
        <v>433</v>
      </c>
      <c r="C197" s="214" t="s">
        <v>438</v>
      </c>
      <c r="D197" s="232" t="s">
        <v>439</v>
      </c>
      <c r="E197" s="216" t="s">
        <v>91</v>
      </c>
      <c r="F197" s="217"/>
      <c r="G197" s="218"/>
      <c r="H197" s="218"/>
      <c r="I197" s="219"/>
      <c r="J197" s="218"/>
      <c r="K197" s="219"/>
      <c r="L197" s="221"/>
      <c r="M197" s="221"/>
      <c r="N197" s="222"/>
      <c r="O197" s="221"/>
      <c r="P197" s="228"/>
      <c r="Q197" s="224"/>
      <c r="R197" s="225"/>
      <c r="S197" s="226"/>
      <c r="T197" s="226"/>
      <c r="U197" s="226"/>
      <c r="V197" s="226"/>
      <c r="W197" s="218"/>
      <c r="X197" s="224"/>
      <c r="Y197" s="218"/>
      <c r="Z197" s="219"/>
      <c r="AA197" s="226"/>
      <c r="AB197" s="227"/>
      <c r="AC197" s="226"/>
      <c r="AD197" s="228"/>
      <c r="AE197" s="226"/>
      <c r="AF197" s="229"/>
      <c r="AG197" s="230"/>
      <c r="AH197" s="231"/>
      <c r="AI197" s="231"/>
      <c r="AJ197" s="231"/>
    </row>
    <row r="198" spans="2:37" x14ac:dyDescent="0.2">
      <c r="B198" s="214" t="s">
        <v>433</v>
      </c>
      <c r="C198" s="214" t="s">
        <v>438</v>
      </c>
      <c r="D198" s="232" t="s">
        <v>440</v>
      </c>
      <c r="E198" s="216" t="s">
        <v>83</v>
      </c>
      <c r="F198" s="233"/>
      <c r="G198" s="218"/>
      <c r="H198" s="218"/>
      <c r="I198" s="220"/>
      <c r="J198" s="220"/>
      <c r="K198" s="219"/>
      <c r="L198" s="224"/>
      <c r="M198" s="221"/>
      <c r="N198" s="219"/>
      <c r="O198" s="221"/>
      <c r="P198" s="223"/>
      <c r="Q198" s="221"/>
      <c r="R198" s="225"/>
      <c r="S198" s="235"/>
      <c r="T198" s="235"/>
      <c r="U198" s="235"/>
      <c r="V198" s="235"/>
      <c r="W198" s="220"/>
      <c r="X198" s="221"/>
      <c r="Y198" s="218"/>
      <c r="Z198" s="222"/>
      <c r="AA198" s="235"/>
      <c r="AB198" s="227"/>
      <c r="AC198" s="226"/>
      <c r="AD198" s="223"/>
      <c r="AE198" s="235"/>
      <c r="AF198" s="237"/>
      <c r="AG198" s="238"/>
      <c r="AH198" s="239"/>
      <c r="AI198" s="239"/>
      <c r="AJ198" s="239"/>
    </row>
    <row r="199" spans="2:37" x14ac:dyDescent="0.2">
      <c r="B199" s="214" t="s">
        <v>433</v>
      </c>
      <c r="C199" s="214" t="s">
        <v>441</v>
      </c>
      <c r="D199" s="232" t="s">
        <v>442</v>
      </c>
      <c r="E199" s="216" t="s">
        <v>552</v>
      </c>
      <c r="F199" s="217"/>
      <c r="G199" s="218"/>
      <c r="H199" s="218"/>
      <c r="I199" s="220"/>
      <c r="J199" s="220"/>
      <c r="K199" s="219"/>
      <c r="L199" s="221"/>
      <c r="M199" s="224"/>
      <c r="N199" s="219"/>
      <c r="O199" s="224"/>
      <c r="P199" s="223"/>
      <c r="Q199" s="224"/>
      <c r="R199" s="225"/>
      <c r="S199" s="226"/>
      <c r="T199" s="226"/>
      <c r="U199" s="226"/>
      <c r="V199" s="226"/>
      <c r="W199" s="220"/>
      <c r="X199" s="224"/>
      <c r="Y199" s="220"/>
      <c r="Z199" s="219"/>
      <c r="AA199" s="226"/>
      <c r="AB199" s="227"/>
      <c r="AC199" s="226"/>
      <c r="AD199" s="223"/>
      <c r="AE199" s="235"/>
      <c r="AF199" s="237"/>
      <c r="AG199" s="238"/>
      <c r="AH199" s="239"/>
      <c r="AI199" s="239"/>
      <c r="AJ199" s="239"/>
    </row>
    <row r="200" spans="2:37" x14ac:dyDescent="0.2">
      <c r="B200" s="214" t="s">
        <v>433</v>
      </c>
      <c r="C200" s="214" t="s">
        <v>443</v>
      </c>
      <c r="D200" s="232" t="s">
        <v>562</v>
      </c>
      <c r="E200" s="216" t="s">
        <v>527</v>
      </c>
      <c r="F200" s="217"/>
      <c r="G200" s="218"/>
      <c r="H200" s="218"/>
      <c r="I200" s="220"/>
      <c r="J200" s="218"/>
      <c r="K200" s="219"/>
      <c r="L200" s="221"/>
      <c r="M200" s="224"/>
      <c r="N200" s="219"/>
      <c r="O200" s="224"/>
      <c r="P200" s="223"/>
      <c r="Q200" s="224"/>
      <c r="R200" s="225"/>
      <c r="S200" s="226"/>
      <c r="T200" s="226"/>
      <c r="U200" s="226"/>
      <c r="V200" s="226"/>
      <c r="W200" s="218"/>
      <c r="X200" s="224"/>
      <c r="Y200" s="218"/>
      <c r="Z200" s="219"/>
      <c r="AA200" s="226"/>
      <c r="AB200" s="227"/>
      <c r="AC200" s="226"/>
      <c r="AD200" s="223"/>
      <c r="AE200" s="235"/>
      <c r="AF200" s="237"/>
      <c r="AG200" s="238"/>
      <c r="AH200" s="239"/>
      <c r="AI200" s="239"/>
      <c r="AJ200" s="239"/>
    </row>
    <row r="201" spans="2:37" ht="17.25" customHeight="1" x14ac:dyDescent="0.2">
      <c r="B201" s="214" t="s">
        <v>444</v>
      </c>
      <c r="C201" s="214" t="s">
        <v>445</v>
      </c>
      <c r="D201" s="232" t="s">
        <v>446</v>
      </c>
      <c r="E201" s="216" t="s">
        <v>66</v>
      </c>
      <c r="F201" s="233"/>
      <c r="G201" s="218"/>
      <c r="H201" s="218"/>
      <c r="I201" s="220"/>
      <c r="J201" s="220"/>
      <c r="K201" s="219"/>
      <c r="L201" s="221"/>
      <c r="M201" s="221"/>
      <c r="N201" s="222"/>
      <c r="O201" s="221"/>
      <c r="P201" s="223"/>
      <c r="Q201" s="221"/>
      <c r="R201" s="234"/>
      <c r="S201" s="235"/>
      <c r="T201" s="235"/>
      <c r="U201" s="235"/>
      <c r="V201" s="235"/>
      <c r="W201" s="220"/>
      <c r="X201" s="221"/>
      <c r="Y201" s="220"/>
      <c r="Z201" s="222"/>
      <c r="AA201" s="235"/>
      <c r="AB201" s="236"/>
      <c r="AC201" s="226"/>
      <c r="AD201" s="223"/>
      <c r="AE201" s="235"/>
      <c r="AF201" s="237"/>
      <c r="AG201" s="238"/>
      <c r="AH201" s="239"/>
      <c r="AI201" s="239"/>
      <c r="AJ201" s="239"/>
    </row>
    <row r="202" spans="2:37" x14ac:dyDescent="0.2">
      <c r="B202" s="214" t="s">
        <v>444</v>
      </c>
      <c r="C202" s="214" t="s">
        <v>447</v>
      </c>
      <c r="D202" s="232" t="s">
        <v>448</v>
      </c>
      <c r="E202" s="216" t="s">
        <v>83</v>
      </c>
      <c r="F202" s="217"/>
      <c r="G202" s="218"/>
      <c r="H202" s="218"/>
      <c r="I202" s="220"/>
      <c r="J202" s="220"/>
      <c r="K202" s="219"/>
      <c r="L202" s="221"/>
      <c r="M202" s="221"/>
      <c r="N202" s="222"/>
      <c r="O202" s="221"/>
      <c r="P202" s="223"/>
      <c r="Q202" s="221"/>
      <c r="R202" s="225"/>
      <c r="S202" s="235"/>
      <c r="T202" s="235"/>
      <c r="U202" s="235"/>
      <c r="V202" s="226"/>
      <c r="W202" s="220"/>
      <c r="X202" s="224"/>
      <c r="Y202" s="220"/>
      <c r="Z202" s="222"/>
      <c r="AA202" s="235"/>
      <c r="AB202" s="227"/>
      <c r="AC202" s="226"/>
      <c r="AD202" s="228"/>
      <c r="AE202" s="226"/>
      <c r="AF202" s="237"/>
      <c r="AG202" s="238"/>
      <c r="AH202" s="239"/>
      <c r="AI202" s="239"/>
      <c r="AJ202" s="239"/>
    </row>
    <row r="203" spans="2:37" x14ac:dyDescent="0.2">
      <c r="B203" s="214" t="s">
        <v>444</v>
      </c>
      <c r="C203" s="214" t="s">
        <v>450</v>
      </c>
      <c r="D203" s="246" t="s">
        <v>554</v>
      </c>
      <c r="E203" s="216" t="s">
        <v>527</v>
      </c>
      <c r="F203" s="233"/>
      <c r="G203" s="218"/>
      <c r="H203" s="220"/>
      <c r="I203" s="220"/>
      <c r="J203" s="220"/>
      <c r="K203" s="222"/>
      <c r="L203" s="221"/>
      <c r="M203" s="224"/>
      <c r="N203" s="219"/>
      <c r="O203" s="224"/>
      <c r="P203" s="223"/>
      <c r="Q203" s="221"/>
      <c r="R203" s="234"/>
      <c r="S203" s="235"/>
      <c r="T203" s="235"/>
      <c r="U203" s="235"/>
      <c r="V203" s="235"/>
      <c r="W203" s="220"/>
      <c r="X203" s="221"/>
      <c r="Y203" s="220"/>
      <c r="Z203" s="222"/>
      <c r="AA203" s="235"/>
      <c r="AB203" s="236"/>
      <c r="AC203" s="226"/>
      <c r="AD203" s="228"/>
      <c r="AE203" s="226"/>
      <c r="AF203" s="229"/>
      <c r="AG203" s="230"/>
      <c r="AH203" s="231"/>
      <c r="AI203" s="231"/>
      <c r="AJ203" s="231"/>
    </row>
    <row r="204" spans="2:37" x14ac:dyDescent="0.2">
      <c r="B204" s="214" t="s">
        <v>444</v>
      </c>
      <c r="C204" s="214" t="s">
        <v>450</v>
      </c>
      <c r="D204" s="232" t="s">
        <v>451</v>
      </c>
      <c r="E204" s="216" t="s">
        <v>83</v>
      </c>
      <c r="F204" s="217"/>
      <c r="G204" s="218"/>
      <c r="H204" s="220"/>
      <c r="I204" s="220"/>
      <c r="J204" s="220"/>
      <c r="K204" s="222"/>
      <c r="L204" s="221"/>
      <c r="M204" s="221"/>
      <c r="N204" s="222"/>
      <c r="O204" s="221"/>
      <c r="P204" s="223"/>
      <c r="Q204" s="221"/>
      <c r="R204" s="225"/>
      <c r="S204" s="235"/>
      <c r="T204" s="235"/>
      <c r="U204" s="235"/>
      <c r="V204" s="235"/>
      <c r="W204" s="220"/>
      <c r="X204" s="221"/>
      <c r="Y204" s="218"/>
      <c r="Z204" s="222"/>
      <c r="AA204" s="235"/>
      <c r="AB204" s="236"/>
      <c r="AC204" s="226"/>
      <c r="AD204" s="228"/>
      <c r="AE204" s="226"/>
      <c r="AF204" s="237"/>
      <c r="AG204" s="238"/>
      <c r="AH204" s="239"/>
      <c r="AI204" s="239"/>
      <c r="AJ204" s="239"/>
    </row>
    <row r="205" spans="2:37" x14ac:dyDescent="0.2">
      <c r="B205" s="214" t="s">
        <v>444</v>
      </c>
      <c r="C205" s="214" t="s">
        <v>453</v>
      </c>
      <c r="D205" s="232" t="s">
        <v>454</v>
      </c>
      <c r="E205" s="216" t="s">
        <v>83</v>
      </c>
      <c r="F205" s="217"/>
      <c r="G205" s="218"/>
      <c r="H205" s="218"/>
      <c r="I205" s="220"/>
      <c r="J205" s="220"/>
      <c r="K205" s="219"/>
      <c r="L205" s="221"/>
      <c r="M205" s="221"/>
      <c r="N205" s="222"/>
      <c r="O205" s="221"/>
      <c r="P205" s="223"/>
      <c r="Q205" s="221"/>
      <c r="R205" s="225"/>
      <c r="S205" s="235"/>
      <c r="T205" s="235"/>
      <c r="U205" s="235"/>
      <c r="V205" s="226"/>
      <c r="W205" s="220"/>
      <c r="X205" s="224"/>
      <c r="Y205" s="220"/>
      <c r="Z205" s="222"/>
      <c r="AA205" s="235"/>
      <c r="AB205" s="227"/>
      <c r="AC205" s="226"/>
      <c r="AD205" s="228"/>
      <c r="AE205" s="226"/>
      <c r="AF205" s="229"/>
      <c r="AG205" s="230"/>
      <c r="AH205" s="231"/>
      <c r="AI205" s="231"/>
      <c r="AJ205" s="231"/>
    </row>
    <row r="206" spans="2:37" x14ac:dyDescent="0.2">
      <c r="B206" s="214" t="s">
        <v>444</v>
      </c>
      <c r="C206" s="214" t="s">
        <v>453</v>
      </c>
      <c r="D206" s="232" t="s">
        <v>456</v>
      </c>
      <c r="E206" s="216" t="s">
        <v>527</v>
      </c>
      <c r="F206" s="217"/>
      <c r="G206" s="218"/>
      <c r="H206" s="218"/>
      <c r="I206" s="220"/>
      <c r="J206" s="220"/>
      <c r="K206" s="219"/>
      <c r="L206" s="224"/>
      <c r="M206" s="224"/>
      <c r="N206" s="219"/>
      <c r="O206" s="224"/>
      <c r="P206" s="228"/>
      <c r="Q206" s="224"/>
      <c r="R206" s="225"/>
      <c r="S206" s="226"/>
      <c r="T206" s="226"/>
      <c r="U206" s="226"/>
      <c r="V206" s="226"/>
      <c r="W206" s="220"/>
      <c r="X206" s="224"/>
      <c r="Y206" s="220"/>
      <c r="Z206" s="219"/>
      <c r="AA206" s="226"/>
      <c r="AB206" s="227"/>
      <c r="AC206" s="226"/>
      <c r="AD206" s="228"/>
      <c r="AE206" s="226"/>
      <c r="AF206" s="229"/>
      <c r="AG206" s="230"/>
      <c r="AH206" s="231"/>
      <c r="AI206" s="231"/>
      <c r="AJ206" s="231"/>
      <c r="AK206" s="171"/>
    </row>
    <row r="207" spans="2:37" x14ac:dyDescent="0.2">
      <c r="B207" s="214" t="s">
        <v>444</v>
      </c>
      <c r="C207" s="214" t="s">
        <v>453</v>
      </c>
      <c r="D207" s="247" t="s">
        <v>458</v>
      </c>
      <c r="E207" s="216" t="s">
        <v>533</v>
      </c>
      <c r="F207" s="217"/>
      <c r="G207" s="218"/>
      <c r="H207" s="218"/>
      <c r="I207" s="220"/>
      <c r="J207" s="220"/>
      <c r="K207" s="219"/>
      <c r="L207" s="221"/>
      <c r="M207" s="224"/>
      <c r="N207" s="219"/>
      <c r="O207" s="224"/>
      <c r="P207" s="228"/>
      <c r="Q207" s="224"/>
      <c r="R207" s="225"/>
      <c r="S207" s="226"/>
      <c r="T207" s="226"/>
      <c r="U207" s="226"/>
      <c r="V207" s="226"/>
      <c r="W207" s="220"/>
      <c r="X207" s="224"/>
      <c r="Y207" s="220"/>
      <c r="Z207" s="219"/>
      <c r="AA207" s="226"/>
      <c r="AB207" s="227"/>
      <c r="AC207" s="226"/>
      <c r="AD207" s="228"/>
      <c r="AE207" s="226"/>
      <c r="AF207" s="229"/>
      <c r="AG207" s="230"/>
      <c r="AH207" s="231"/>
      <c r="AI207" s="231"/>
      <c r="AJ207" s="231"/>
      <c r="AK207" s="171"/>
    </row>
    <row r="208" spans="2:37" x14ac:dyDescent="0.2">
      <c r="B208" s="214" t="s">
        <v>444</v>
      </c>
      <c r="C208" s="214" t="s">
        <v>453</v>
      </c>
      <c r="D208" s="232" t="s">
        <v>460</v>
      </c>
      <c r="E208" s="216" t="s">
        <v>527</v>
      </c>
      <c r="F208" s="217"/>
      <c r="G208" s="218"/>
      <c r="H208" s="218"/>
      <c r="I208" s="220"/>
      <c r="J208" s="220"/>
      <c r="K208" s="219"/>
      <c r="L208" s="224"/>
      <c r="M208" s="224"/>
      <c r="N208" s="219"/>
      <c r="O208" s="224"/>
      <c r="P208" s="228"/>
      <c r="Q208" s="224"/>
      <c r="R208" s="225"/>
      <c r="S208" s="226"/>
      <c r="T208" s="226"/>
      <c r="U208" s="226"/>
      <c r="V208" s="226"/>
      <c r="W208" s="220"/>
      <c r="X208" s="224"/>
      <c r="Y208" s="220"/>
      <c r="Z208" s="219"/>
      <c r="AA208" s="226"/>
      <c r="AB208" s="227"/>
      <c r="AC208" s="226"/>
      <c r="AD208" s="228"/>
      <c r="AE208" s="235"/>
      <c r="AF208" s="229"/>
      <c r="AG208" s="230"/>
      <c r="AH208" s="231"/>
      <c r="AI208" s="239"/>
      <c r="AJ208" s="231"/>
      <c r="AK208" s="171"/>
    </row>
    <row r="209" spans="2:37" x14ac:dyDescent="0.2">
      <c r="B209" s="214" t="s">
        <v>444</v>
      </c>
      <c r="C209" s="214" t="s">
        <v>461</v>
      </c>
      <c r="D209" s="232" t="s">
        <v>462</v>
      </c>
      <c r="E209" s="216" t="s">
        <v>527</v>
      </c>
      <c r="F209" s="217"/>
      <c r="G209" s="218"/>
      <c r="H209" s="218"/>
      <c r="I209" s="220"/>
      <c r="J209" s="220"/>
      <c r="K209" s="219"/>
      <c r="L209" s="221"/>
      <c r="M209" s="221"/>
      <c r="N209" s="222"/>
      <c r="O209" s="221"/>
      <c r="P209" s="223"/>
      <c r="Q209" s="221"/>
      <c r="R209" s="225"/>
      <c r="S209" s="226"/>
      <c r="T209" s="235"/>
      <c r="U209" s="235"/>
      <c r="V209" s="226"/>
      <c r="W209" s="220"/>
      <c r="X209" s="224"/>
      <c r="Y209" s="220"/>
      <c r="Z209" s="219"/>
      <c r="AA209" s="226"/>
      <c r="AB209" s="227"/>
      <c r="AC209" s="226"/>
      <c r="AD209" s="228"/>
      <c r="AE209" s="226"/>
      <c r="AF209" s="229"/>
      <c r="AG209" s="230"/>
      <c r="AH209" s="231"/>
      <c r="AI209" s="231"/>
      <c r="AJ209" s="231"/>
      <c r="AK209" s="171"/>
    </row>
    <row r="210" spans="2:37" x14ac:dyDescent="0.2">
      <c r="B210" s="214" t="s">
        <v>444</v>
      </c>
      <c r="C210" s="214" t="s">
        <v>464</v>
      </c>
      <c r="D210" s="232" t="s">
        <v>465</v>
      </c>
      <c r="E210" s="216" t="s">
        <v>527</v>
      </c>
      <c r="F210" s="217"/>
      <c r="G210" s="218"/>
      <c r="H210" s="220"/>
      <c r="I210" s="220"/>
      <c r="J210" s="220"/>
      <c r="K210" s="222"/>
      <c r="L210" s="221"/>
      <c r="M210" s="221"/>
      <c r="N210" s="222"/>
      <c r="O210" s="221"/>
      <c r="P210" s="223"/>
      <c r="Q210" s="224"/>
      <c r="R210" s="225"/>
      <c r="S210" s="226"/>
      <c r="T210" s="235"/>
      <c r="U210" s="226"/>
      <c r="V210" s="226"/>
      <c r="W210" s="220"/>
      <c r="X210" s="224"/>
      <c r="Y210" s="220"/>
      <c r="Z210" s="219"/>
      <c r="AA210" s="226"/>
      <c r="AB210" s="227"/>
      <c r="AC210" s="226"/>
      <c r="AD210" s="228"/>
      <c r="AE210" s="226"/>
      <c r="AF210" s="229"/>
      <c r="AG210" s="230"/>
      <c r="AH210" s="231"/>
      <c r="AI210" s="231"/>
      <c r="AJ210" s="231"/>
      <c r="AK210" s="171"/>
    </row>
    <row r="211" spans="2:37" x14ac:dyDescent="0.2">
      <c r="B211" s="214" t="s">
        <v>444</v>
      </c>
      <c r="C211" s="214" t="s">
        <v>464</v>
      </c>
      <c r="D211" s="232" t="s">
        <v>467</v>
      </c>
      <c r="E211" s="216" t="s">
        <v>527</v>
      </c>
      <c r="F211" s="217"/>
      <c r="G211" s="218"/>
      <c r="H211" s="218"/>
      <c r="I211" s="220"/>
      <c r="J211" s="220"/>
      <c r="K211" s="219"/>
      <c r="L211" s="221"/>
      <c r="M211" s="221"/>
      <c r="N211" s="222"/>
      <c r="O211" s="221"/>
      <c r="P211" s="223"/>
      <c r="Q211" s="221"/>
      <c r="R211" s="225"/>
      <c r="S211" s="226"/>
      <c r="T211" s="226"/>
      <c r="U211" s="226"/>
      <c r="V211" s="226"/>
      <c r="W211" s="220"/>
      <c r="X211" s="224"/>
      <c r="Y211" s="220"/>
      <c r="Z211" s="219"/>
      <c r="AA211" s="226"/>
      <c r="AB211" s="227"/>
      <c r="AC211" s="226"/>
      <c r="AD211" s="228"/>
      <c r="AE211" s="226"/>
      <c r="AF211" s="229"/>
      <c r="AG211" s="230"/>
      <c r="AH211" s="231"/>
      <c r="AI211" s="231"/>
      <c r="AJ211" s="231"/>
      <c r="AK211" s="171"/>
    </row>
    <row r="212" spans="2:37" x14ac:dyDescent="0.2">
      <c r="B212" s="214" t="s">
        <v>444</v>
      </c>
      <c r="C212" s="214" t="s">
        <v>464</v>
      </c>
      <c r="D212" s="232" t="s">
        <v>468</v>
      </c>
      <c r="E212" s="216" t="s">
        <v>83</v>
      </c>
      <c r="F212" s="217"/>
      <c r="G212" s="218"/>
      <c r="H212" s="218"/>
      <c r="I212" s="220"/>
      <c r="J212" s="220"/>
      <c r="K212" s="219"/>
      <c r="L212" s="221"/>
      <c r="M212" s="221"/>
      <c r="N212" s="222"/>
      <c r="O212" s="221"/>
      <c r="P212" s="223"/>
      <c r="Q212" s="221"/>
      <c r="R212" s="225"/>
      <c r="S212" s="226"/>
      <c r="T212" s="235"/>
      <c r="U212" s="235"/>
      <c r="V212" s="226"/>
      <c r="W212" s="220"/>
      <c r="X212" s="224"/>
      <c r="Y212" s="220"/>
      <c r="Z212" s="219"/>
      <c r="AA212" s="226"/>
      <c r="AB212" s="227"/>
      <c r="AC212" s="226"/>
      <c r="AD212" s="228"/>
      <c r="AE212" s="226"/>
      <c r="AF212" s="229"/>
      <c r="AG212" s="230"/>
      <c r="AH212" s="231"/>
      <c r="AI212" s="231"/>
      <c r="AJ212" s="231"/>
      <c r="AK212" s="171"/>
    </row>
    <row r="213" spans="2:37" x14ac:dyDescent="0.2">
      <c r="B213" s="214" t="s">
        <v>444</v>
      </c>
      <c r="C213" s="214" t="s">
        <v>464</v>
      </c>
      <c r="D213" s="232" t="s">
        <v>469</v>
      </c>
      <c r="E213" s="216" t="s">
        <v>83</v>
      </c>
      <c r="F213" s="233"/>
      <c r="G213" s="218"/>
      <c r="H213" s="218"/>
      <c r="I213" s="220"/>
      <c r="J213" s="220"/>
      <c r="K213" s="219"/>
      <c r="L213" s="221"/>
      <c r="M213" s="221"/>
      <c r="N213" s="222"/>
      <c r="O213" s="221"/>
      <c r="P213" s="223"/>
      <c r="Q213" s="221"/>
      <c r="R213" s="234"/>
      <c r="S213" s="235"/>
      <c r="T213" s="235"/>
      <c r="U213" s="235"/>
      <c r="V213" s="235"/>
      <c r="W213" s="220"/>
      <c r="X213" s="221"/>
      <c r="Y213" s="220"/>
      <c r="Z213" s="222"/>
      <c r="AA213" s="235"/>
      <c r="AB213" s="236"/>
      <c r="AC213" s="226"/>
      <c r="AD213" s="223"/>
      <c r="AE213" s="235"/>
      <c r="AF213" s="237"/>
      <c r="AG213" s="238"/>
      <c r="AH213" s="239"/>
      <c r="AI213" s="239"/>
      <c r="AJ213" s="239"/>
      <c r="AK213" s="171"/>
    </row>
    <row r="214" spans="2:37" x14ac:dyDescent="0.2">
      <c r="B214" s="214" t="s">
        <v>444</v>
      </c>
      <c r="C214" s="214" t="s">
        <v>464</v>
      </c>
      <c r="D214" s="232" t="s">
        <v>470</v>
      </c>
      <c r="E214" s="216" t="s">
        <v>83</v>
      </c>
      <c r="F214" s="217"/>
      <c r="G214" s="218"/>
      <c r="H214" s="220"/>
      <c r="I214" s="220"/>
      <c r="J214" s="220"/>
      <c r="K214" s="222"/>
      <c r="L214" s="221"/>
      <c r="M214" s="221"/>
      <c r="N214" s="222"/>
      <c r="O214" s="221"/>
      <c r="P214" s="223"/>
      <c r="Q214" s="221"/>
      <c r="R214" s="225"/>
      <c r="S214" s="235"/>
      <c r="T214" s="235"/>
      <c r="U214" s="235"/>
      <c r="V214" s="235"/>
      <c r="W214" s="220"/>
      <c r="X214" s="221"/>
      <c r="Y214" s="220"/>
      <c r="Z214" s="222"/>
      <c r="AA214" s="235"/>
      <c r="AB214" s="227"/>
      <c r="AC214" s="226"/>
      <c r="AD214" s="228"/>
      <c r="AE214" s="226"/>
      <c r="AF214" s="237"/>
      <c r="AG214" s="238"/>
      <c r="AH214" s="239"/>
      <c r="AI214" s="239"/>
      <c r="AJ214" s="239"/>
      <c r="AK214" s="171"/>
    </row>
    <row r="215" spans="2:37" x14ac:dyDescent="0.2">
      <c r="B215" s="214" t="s">
        <v>444</v>
      </c>
      <c r="C215" s="214" t="s">
        <v>471</v>
      </c>
      <c r="D215" s="232" t="s">
        <v>970</v>
      </c>
      <c r="E215" s="216" t="s">
        <v>527</v>
      </c>
      <c r="F215" s="217"/>
      <c r="G215" s="218"/>
      <c r="H215" s="220"/>
      <c r="I215" s="219"/>
      <c r="J215" s="220"/>
      <c r="K215" s="222"/>
      <c r="L215" s="224"/>
      <c r="M215" s="221"/>
      <c r="N215" s="222"/>
      <c r="O215" s="221"/>
      <c r="P215" s="223"/>
      <c r="Q215" s="224"/>
      <c r="R215" s="225"/>
      <c r="S215" s="226"/>
      <c r="T215" s="226"/>
      <c r="U215" s="235"/>
      <c r="V215" s="226"/>
      <c r="W215" s="220"/>
      <c r="X215" s="224"/>
      <c r="Y215" s="220"/>
      <c r="Z215" s="219"/>
      <c r="AA215" s="226"/>
      <c r="AB215" s="227"/>
      <c r="AC215" s="226"/>
      <c r="AD215" s="228"/>
      <c r="AE215" s="226"/>
      <c r="AF215" s="229"/>
      <c r="AG215" s="238"/>
      <c r="AH215" s="231"/>
      <c r="AI215" s="231"/>
      <c r="AJ215" s="239"/>
      <c r="AK215" s="171"/>
    </row>
    <row r="216" spans="2:37" x14ac:dyDescent="0.2">
      <c r="B216" s="214" t="s">
        <v>444</v>
      </c>
      <c r="C216" s="214" t="s">
        <v>471</v>
      </c>
      <c r="D216" s="232" t="s">
        <v>474</v>
      </c>
      <c r="E216" s="216" t="s">
        <v>527</v>
      </c>
      <c r="F216" s="233"/>
      <c r="G216" s="218"/>
      <c r="H216" s="218"/>
      <c r="I216" s="220"/>
      <c r="J216" s="220"/>
      <c r="K216" s="219"/>
      <c r="L216" s="221"/>
      <c r="M216" s="221"/>
      <c r="N216" s="222"/>
      <c r="O216" s="221"/>
      <c r="P216" s="223"/>
      <c r="Q216" s="221"/>
      <c r="R216" s="225"/>
      <c r="S216" s="235"/>
      <c r="T216" s="235"/>
      <c r="U216" s="235"/>
      <c r="V216" s="226"/>
      <c r="W216" s="220"/>
      <c r="X216" s="224"/>
      <c r="Y216" s="220"/>
      <c r="Z216" s="222"/>
      <c r="AA216" s="235"/>
      <c r="AB216" s="227"/>
      <c r="AC216" s="226"/>
      <c r="AD216" s="228"/>
      <c r="AE216" s="226"/>
      <c r="AF216" s="229"/>
      <c r="AG216" s="230"/>
      <c r="AH216" s="231"/>
      <c r="AI216" s="231"/>
      <c r="AJ216" s="231"/>
    </row>
    <row r="217" spans="2:37" ht="19.5" customHeight="1" x14ac:dyDescent="0.2">
      <c r="B217" s="214" t="s">
        <v>444</v>
      </c>
      <c r="C217" s="214" t="s">
        <v>471</v>
      </c>
      <c r="D217" s="232" t="s">
        <v>475</v>
      </c>
      <c r="E217" s="216" t="s">
        <v>527</v>
      </c>
      <c r="F217" s="233"/>
      <c r="G217" s="219"/>
      <c r="H217" s="219"/>
      <c r="I217" s="220"/>
      <c r="J217" s="220"/>
      <c r="K217" s="219"/>
      <c r="L217" s="221"/>
      <c r="M217" s="221"/>
      <c r="N217" s="222"/>
      <c r="O217" s="221"/>
      <c r="P217" s="223"/>
      <c r="Q217" s="224"/>
      <c r="R217" s="234"/>
      <c r="S217" s="235"/>
      <c r="T217" s="235"/>
      <c r="U217" s="235"/>
      <c r="V217" s="235"/>
      <c r="W217" s="220"/>
      <c r="X217" s="221"/>
      <c r="Y217" s="220"/>
      <c r="Z217" s="222"/>
      <c r="AA217" s="235"/>
      <c r="AB217" s="227"/>
      <c r="AC217" s="226"/>
      <c r="AD217" s="228"/>
      <c r="AE217" s="226"/>
      <c r="AF217" s="229"/>
      <c r="AG217" s="230"/>
      <c r="AH217" s="231"/>
      <c r="AI217" s="231"/>
      <c r="AJ217" s="231"/>
      <c r="AK217" s="171"/>
    </row>
    <row r="218" spans="2:37" ht="19.5" customHeight="1" x14ac:dyDescent="0.2">
      <c r="B218" s="214" t="s">
        <v>444</v>
      </c>
      <c r="C218" s="214" t="s">
        <v>471</v>
      </c>
      <c r="D218" s="232" t="s">
        <v>477</v>
      </c>
      <c r="E218" s="216" t="s">
        <v>527</v>
      </c>
      <c r="F218" s="233"/>
      <c r="G218" s="218"/>
      <c r="H218" s="218"/>
      <c r="I218" s="220"/>
      <c r="J218" s="220"/>
      <c r="K218" s="219"/>
      <c r="L218" s="221"/>
      <c r="M218" s="221"/>
      <c r="N218" s="219"/>
      <c r="O218" s="221"/>
      <c r="P218" s="223"/>
      <c r="Q218" s="224"/>
      <c r="R218" s="225"/>
      <c r="S218" s="226"/>
      <c r="T218" s="226"/>
      <c r="U218" s="226"/>
      <c r="V218" s="226"/>
      <c r="W218" s="220"/>
      <c r="X218" s="224"/>
      <c r="Y218" s="220"/>
      <c r="Z218" s="219"/>
      <c r="AA218" s="226"/>
      <c r="AB218" s="227"/>
      <c r="AC218" s="226"/>
      <c r="AD218" s="228"/>
      <c r="AE218" s="226"/>
      <c r="AF218" s="229"/>
      <c r="AG218" s="230"/>
      <c r="AH218" s="231"/>
      <c r="AI218" s="231"/>
      <c r="AJ218" s="231"/>
    </row>
    <row r="219" spans="2:37" x14ac:dyDescent="0.2">
      <c r="B219" s="214" t="s">
        <v>444</v>
      </c>
      <c r="C219" s="214" t="s">
        <v>478</v>
      </c>
      <c r="D219" s="232" t="s">
        <v>479</v>
      </c>
      <c r="E219" s="216" t="s">
        <v>527</v>
      </c>
      <c r="F219" s="217"/>
      <c r="G219" s="218"/>
      <c r="H219" s="220"/>
      <c r="I219" s="220"/>
      <c r="J219" s="220"/>
      <c r="K219" s="222"/>
      <c r="L219" s="221"/>
      <c r="M219" s="221"/>
      <c r="N219" s="222"/>
      <c r="O219" s="221"/>
      <c r="P219" s="223"/>
      <c r="Q219" s="221"/>
      <c r="R219" s="234"/>
      <c r="S219" s="235"/>
      <c r="T219" s="235"/>
      <c r="U219" s="235"/>
      <c r="V219" s="235"/>
      <c r="W219" s="220"/>
      <c r="X219" s="221"/>
      <c r="Y219" s="220"/>
      <c r="Z219" s="222"/>
      <c r="AA219" s="235"/>
      <c r="AB219" s="236"/>
      <c r="AC219" s="226"/>
      <c r="AD219" s="228"/>
      <c r="AE219" s="226"/>
      <c r="AF219" s="237"/>
      <c r="AG219" s="238"/>
      <c r="AH219" s="239"/>
      <c r="AI219" s="239"/>
      <c r="AJ219" s="239"/>
    </row>
    <row r="220" spans="2:37" x14ac:dyDescent="0.2">
      <c r="B220" s="214" t="s">
        <v>444</v>
      </c>
      <c r="C220" s="214" t="s">
        <v>481</v>
      </c>
      <c r="D220" s="232" t="s">
        <v>482</v>
      </c>
      <c r="E220" s="216" t="s">
        <v>527</v>
      </c>
      <c r="F220" s="233"/>
      <c r="G220" s="218"/>
      <c r="H220" s="220"/>
      <c r="I220" s="220"/>
      <c r="J220" s="220"/>
      <c r="K220" s="222"/>
      <c r="L220" s="221"/>
      <c r="M220" s="221"/>
      <c r="N220" s="222"/>
      <c r="O220" s="221"/>
      <c r="P220" s="223"/>
      <c r="Q220" s="221"/>
      <c r="R220" s="234"/>
      <c r="S220" s="235"/>
      <c r="T220" s="235"/>
      <c r="U220" s="235"/>
      <c r="V220" s="235"/>
      <c r="W220" s="220"/>
      <c r="X220" s="221"/>
      <c r="Y220" s="220"/>
      <c r="Z220" s="222"/>
      <c r="AA220" s="235"/>
      <c r="AB220" s="236"/>
      <c r="AC220" s="226"/>
      <c r="AD220" s="228"/>
      <c r="AE220" s="226"/>
      <c r="AF220" s="237"/>
      <c r="AG220" s="238"/>
      <c r="AH220" s="239"/>
      <c r="AI220" s="239"/>
      <c r="AJ220" s="239"/>
    </row>
    <row r="221" spans="2:37" x14ac:dyDescent="0.2">
      <c r="B221" s="214" t="s">
        <v>444</v>
      </c>
      <c r="C221" s="214" t="s">
        <v>481</v>
      </c>
      <c r="D221" s="232" t="s">
        <v>483</v>
      </c>
      <c r="E221" s="216" t="s">
        <v>66</v>
      </c>
      <c r="F221" s="233"/>
      <c r="G221" s="218"/>
      <c r="H221" s="218"/>
      <c r="I221" s="219"/>
      <c r="J221" s="220"/>
      <c r="K221" s="219"/>
      <c r="L221" s="224"/>
      <c r="M221" s="221"/>
      <c r="N221" s="222"/>
      <c r="O221" s="221"/>
      <c r="P221" s="223"/>
      <c r="Q221" s="221"/>
      <c r="R221" s="225"/>
      <c r="S221" s="235"/>
      <c r="T221" s="235"/>
      <c r="U221" s="235"/>
      <c r="V221" s="235"/>
      <c r="W221" s="220"/>
      <c r="X221" s="221"/>
      <c r="Y221" s="220"/>
      <c r="Z221" s="222"/>
      <c r="AA221" s="235"/>
      <c r="AB221" s="227"/>
      <c r="AC221" s="226"/>
      <c r="AD221" s="228"/>
      <c r="AE221" s="226"/>
      <c r="AF221" s="237"/>
      <c r="AG221" s="238"/>
      <c r="AH221" s="239"/>
      <c r="AI221" s="239"/>
      <c r="AJ221" s="239"/>
    </row>
    <row r="222" spans="2:37" x14ac:dyDescent="0.2">
      <c r="B222" s="214" t="s">
        <v>444</v>
      </c>
      <c r="C222" s="214" t="s">
        <v>484</v>
      </c>
      <c r="D222" s="232" t="s">
        <v>485</v>
      </c>
      <c r="E222" s="216" t="s">
        <v>66</v>
      </c>
      <c r="F222" s="233"/>
      <c r="G222" s="218"/>
      <c r="H222" s="220"/>
      <c r="I222" s="220"/>
      <c r="J222" s="220"/>
      <c r="K222" s="222"/>
      <c r="L222" s="221"/>
      <c r="M222" s="221"/>
      <c r="N222" s="222"/>
      <c r="O222" s="221"/>
      <c r="P222" s="223"/>
      <c r="Q222" s="221"/>
      <c r="R222" s="234"/>
      <c r="S222" s="235"/>
      <c r="T222" s="235"/>
      <c r="U222" s="235"/>
      <c r="V222" s="235"/>
      <c r="W222" s="220"/>
      <c r="X222" s="221"/>
      <c r="Y222" s="220"/>
      <c r="Z222" s="222"/>
      <c r="AA222" s="235"/>
      <c r="AB222" s="236"/>
      <c r="AC222" s="226"/>
      <c r="AD222" s="223"/>
      <c r="AE222" s="235"/>
      <c r="AF222" s="237"/>
      <c r="AG222" s="238"/>
      <c r="AH222" s="239"/>
      <c r="AI222" s="239"/>
      <c r="AJ222" s="239"/>
    </row>
    <row r="223" spans="2:37" x14ac:dyDescent="0.2">
      <c r="B223" s="214" t="s">
        <v>444</v>
      </c>
      <c r="C223" s="214" t="s">
        <v>487</v>
      </c>
      <c r="D223" s="232" t="s">
        <v>488</v>
      </c>
      <c r="E223" s="216" t="s">
        <v>533</v>
      </c>
      <c r="F223" s="233"/>
      <c r="G223" s="218"/>
      <c r="H223" s="218"/>
      <c r="I223" s="220"/>
      <c r="J223" s="220"/>
      <c r="K223" s="219"/>
      <c r="L223" s="221"/>
      <c r="M223" s="221"/>
      <c r="N223" s="222"/>
      <c r="O223" s="221"/>
      <c r="P223" s="223"/>
      <c r="Q223" s="221"/>
      <c r="R223" s="225"/>
      <c r="S223" s="226"/>
      <c r="T223" s="226"/>
      <c r="U223" s="235"/>
      <c r="V223" s="226"/>
      <c r="W223" s="220"/>
      <c r="X223" s="224"/>
      <c r="Y223" s="220"/>
      <c r="Z223" s="219"/>
      <c r="AA223" s="226"/>
      <c r="AB223" s="227"/>
      <c r="AC223" s="226"/>
      <c r="AD223" s="228"/>
      <c r="AE223" s="226"/>
      <c r="AF223" s="229"/>
      <c r="AG223" s="230"/>
      <c r="AH223" s="231"/>
      <c r="AI223" s="231"/>
      <c r="AJ223" s="231"/>
    </row>
    <row r="224" spans="2:37" x14ac:dyDescent="0.2">
      <c r="B224" s="214" t="s">
        <v>489</v>
      </c>
      <c r="C224" s="214" t="s">
        <v>490</v>
      </c>
      <c r="D224" s="232" t="s">
        <v>491</v>
      </c>
      <c r="E224" s="216" t="s">
        <v>527</v>
      </c>
      <c r="F224" s="217"/>
      <c r="G224" s="218"/>
      <c r="H224" s="218"/>
      <c r="I224" s="220"/>
      <c r="J224" s="220"/>
      <c r="K224" s="219"/>
      <c r="L224" s="221"/>
      <c r="M224" s="221"/>
      <c r="N224" s="222"/>
      <c r="O224" s="221"/>
      <c r="P224" s="223"/>
      <c r="Q224" s="221"/>
      <c r="R224" s="225"/>
      <c r="S224" s="226"/>
      <c r="T224" s="235"/>
      <c r="U224" s="235"/>
      <c r="V224" s="226"/>
      <c r="W224" s="218"/>
      <c r="X224" s="224"/>
      <c r="Y224" s="218"/>
      <c r="Z224" s="222"/>
      <c r="AA224" s="235"/>
      <c r="AB224" s="236"/>
      <c r="AC224" s="226"/>
      <c r="AD224" s="228"/>
      <c r="AE224" s="226"/>
      <c r="AF224" s="229"/>
      <c r="AG224" s="230"/>
      <c r="AH224" s="231"/>
      <c r="AI224" s="231"/>
      <c r="AJ224" s="231"/>
    </row>
    <row r="225" spans="2:36" x14ac:dyDescent="0.2">
      <c r="B225" s="214" t="s">
        <v>489</v>
      </c>
      <c r="C225" s="214" t="s">
        <v>490</v>
      </c>
      <c r="D225" s="232" t="s">
        <v>493</v>
      </c>
      <c r="E225" s="216" t="s">
        <v>527</v>
      </c>
      <c r="F225" s="217"/>
      <c r="G225" s="218"/>
      <c r="H225" s="218"/>
      <c r="I225" s="220"/>
      <c r="J225" s="218"/>
      <c r="K225" s="219"/>
      <c r="L225" s="221"/>
      <c r="M225" s="221"/>
      <c r="N225" s="222"/>
      <c r="O225" s="221"/>
      <c r="P225" s="223"/>
      <c r="Q225" s="224"/>
      <c r="R225" s="225"/>
      <c r="S225" s="226"/>
      <c r="T225" s="235"/>
      <c r="U225" s="235"/>
      <c r="V225" s="226"/>
      <c r="W225" s="218"/>
      <c r="X225" s="224"/>
      <c r="Y225" s="218"/>
      <c r="Z225" s="219"/>
      <c r="AA225" s="226"/>
      <c r="AB225" s="227"/>
      <c r="AC225" s="226"/>
      <c r="AD225" s="228"/>
      <c r="AE225" s="226"/>
      <c r="AF225" s="229"/>
      <c r="AG225" s="230"/>
      <c r="AH225" s="231"/>
      <c r="AI225" s="231"/>
      <c r="AJ225" s="231"/>
    </row>
    <row r="226" spans="2:36" x14ac:dyDescent="0.2">
      <c r="B226" s="214" t="s">
        <v>489</v>
      </c>
      <c r="C226" s="214" t="s">
        <v>490</v>
      </c>
      <c r="D226" s="232" t="s">
        <v>494</v>
      </c>
      <c r="E226" s="216" t="s">
        <v>527</v>
      </c>
      <c r="F226" s="217"/>
      <c r="G226" s="218"/>
      <c r="H226" s="218"/>
      <c r="I226" s="220"/>
      <c r="J226" s="220"/>
      <c r="K226" s="219"/>
      <c r="L226" s="221"/>
      <c r="M226" s="221"/>
      <c r="N226" s="222"/>
      <c r="O226" s="221"/>
      <c r="P226" s="223"/>
      <c r="Q226" s="224"/>
      <c r="R226" s="225"/>
      <c r="S226" s="226"/>
      <c r="T226" s="235"/>
      <c r="U226" s="235"/>
      <c r="V226" s="226"/>
      <c r="W226" s="218"/>
      <c r="X226" s="224"/>
      <c r="Y226" s="218"/>
      <c r="Z226" s="219"/>
      <c r="AA226" s="226"/>
      <c r="AB226" s="227"/>
      <c r="AC226" s="226"/>
      <c r="AD226" s="228"/>
      <c r="AE226" s="226"/>
      <c r="AF226" s="237"/>
      <c r="AG226" s="238"/>
      <c r="AH226" s="239"/>
      <c r="AI226" s="239"/>
      <c r="AJ226" s="239"/>
    </row>
    <row r="227" spans="2:36" x14ac:dyDescent="0.2">
      <c r="B227" s="214" t="s">
        <v>489</v>
      </c>
      <c r="C227" s="214" t="s">
        <v>490</v>
      </c>
      <c r="D227" s="232" t="s">
        <v>495</v>
      </c>
      <c r="E227" s="216" t="s">
        <v>527</v>
      </c>
      <c r="F227" s="217"/>
      <c r="G227" s="218"/>
      <c r="H227" s="218"/>
      <c r="I227" s="220"/>
      <c r="J227" s="220"/>
      <c r="K227" s="219"/>
      <c r="L227" s="221"/>
      <c r="M227" s="221"/>
      <c r="N227" s="222"/>
      <c r="O227" s="221"/>
      <c r="P227" s="223"/>
      <c r="Q227" s="224"/>
      <c r="R227" s="225"/>
      <c r="S227" s="226"/>
      <c r="T227" s="235"/>
      <c r="U227" s="235"/>
      <c r="V227" s="226"/>
      <c r="W227" s="220"/>
      <c r="X227" s="224"/>
      <c r="Y227" s="220"/>
      <c r="Z227" s="219"/>
      <c r="AA227" s="226"/>
      <c r="AB227" s="227"/>
      <c r="AC227" s="226"/>
      <c r="AD227" s="228"/>
      <c r="AE227" s="226"/>
      <c r="AF227" s="229"/>
      <c r="AG227" s="230"/>
      <c r="AH227" s="231"/>
      <c r="AI227" s="231"/>
      <c r="AJ227" s="231"/>
    </row>
    <row r="228" spans="2:36" x14ac:dyDescent="0.2">
      <c r="B228" s="214" t="s">
        <v>489</v>
      </c>
      <c r="C228" s="214" t="s">
        <v>490</v>
      </c>
      <c r="D228" s="232" t="s">
        <v>496</v>
      </c>
      <c r="E228" s="216" t="s">
        <v>527</v>
      </c>
      <c r="F228" s="233"/>
      <c r="G228" s="218"/>
      <c r="H228" s="218"/>
      <c r="I228" s="220"/>
      <c r="J228" s="220"/>
      <c r="K228" s="219"/>
      <c r="L228" s="221"/>
      <c r="M228" s="221"/>
      <c r="N228" s="222"/>
      <c r="O228" s="221"/>
      <c r="P228" s="223"/>
      <c r="Q228" s="221"/>
      <c r="R228" s="225"/>
      <c r="S228" s="226"/>
      <c r="T228" s="235"/>
      <c r="U228" s="235"/>
      <c r="V228" s="226"/>
      <c r="W228" s="220"/>
      <c r="X228" s="224"/>
      <c r="Y228" s="220"/>
      <c r="Z228" s="219"/>
      <c r="AA228" s="226"/>
      <c r="AB228" s="227"/>
      <c r="AC228" s="226"/>
      <c r="AD228" s="228"/>
      <c r="AE228" s="226"/>
      <c r="AF228" s="229"/>
      <c r="AG228" s="230"/>
      <c r="AH228" s="231"/>
      <c r="AI228" s="239"/>
      <c r="AJ228" s="231"/>
    </row>
    <row r="229" spans="2:36" x14ac:dyDescent="0.2">
      <c r="B229" s="214" t="s">
        <v>489</v>
      </c>
      <c r="C229" s="214" t="s">
        <v>490</v>
      </c>
      <c r="D229" s="232" t="s">
        <v>497</v>
      </c>
      <c r="E229" s="216" t="s">
        <v>527</v>
      </c>
      <c r="F229" s="233"/>
      <c r="G229" s="218"/>
      <c r="H229" s="218"/>
      <c r="I229" s="220"/>
      <c r="J229" s="220"/>
      <c r="K229" s="219"/>
      <c r="L229" s="221"/>
      <c r="M229" s="221"/>
      <c r="N229" s="222"/>
      <c r="O229" s="221"/>
      <c r="P229" s="223"/>
      <c r="Q229" s="224"/>
      <c r="R229" s="225"/>
      <c r="S229" s="226"/>
      <c r="T229" s="235"/>
      <c r="U229" s="235"/>
      <c r="V229" s="226"/>
      <c r="W229" s="220"/>
      <c r="X229" s="224"/>
      <c r="Y229" s="220"/>
      <c r="Z229" s="219"/>
      <c r="AA229" s="226"/>
      <c r="AB229" s="227"/>
      <c r="AC229" s="226"/>
      <c r="AD229" s="228"/>
      <c r="AE229" s="226"/>
      <c r="AF229" s="229"/>
      <c r="AG229" s="230"/>
      <c r="AH229" s="231"/>
      <c r="AI229" s="231"/>
      <c r="AJ229" s="231"/>
    </row>
    <row r="230" spans="2:36" x14ac:dyDescent="0.2">
      <c r="B230" s="214" t="s">
        <v>489</v>
      </c>
      <c r="C230" s="214" t="s">
        <v>490</v>
      </c>
      <c r="D230" s="232" t="s">
        <v>498</v>
      </c>
      <c r="E230" s="216" t="s">
        <v>527</v>
      </c>
      <c r="F230" s="233"/>
      <c r="G230" s="218"/>
      <c r="H230" s="220"/>
      <c r="I230" s="220"/>
      <c r="J230" s="220"/>
      <c r="K230" s="222"/>
      <c r="L230" s="221"/>
      <c r="M230" s="221"/>
      <c r="N230" s="222"/>
      <c r="O230" s="221"/>
      <c r="P230" s="223"/>
      <c r="Q230" s="224"/>
      <c r="R230" s="225"/>
      <c r="S230" s="226"/>
      <c r="T230" s="235"/>
      <c r="U230" s="235"/>
      <c r="V230" s="226"/>
      <c r="W230" s="220"/>
      <c r="X230" s="224"/>
      <c r="Y230" s="220"/>
      <c r="Z230" s="219"/>
      <c r="AA230" s="226"/>
      <c r="AB230" s="227"/>
      <c r="AC230" s="226"/>
      <c r="AD230" s="228"/>
      <c r="AE230" s="226"/>
      <c r="AF230" s="229"/>
      <c r="AG230" s="230"/>
      <c r="AH230" s="231"/>
      <c r="AI230" s="231"/>
      <c r="AJ230" s="231"/>
    </row>
    <row r="231" spans="2:36" x14ac:dyDescent="0.2">
      <c r="B231" s="214" t="s">
        <v>489</v>
      </c>
      <c r="C231" s="214" t="s">
        <v>490</v>
      </c>
      <c r="D231" s="232" t="s">
        <v>499</v>
      </c>
      <c r="E231" s="216" t="s">
        <v>527</v>
      </c>
      <c r="F231" s="233"/>
      <c r="G231" s="218"/>
      <c r="H231" s="218"/>
      <c r="I231" s="220"/>
      <c r="J231" s="220"/>
      <c r="K231" s="219"/>
      <c r="L231" s="221"/>
      <c r="M231" s="221"/>
      <c r="N231" s="222"/>
      <c r="O231" s="221"/>
      <c r="P231" s="223"/>
      <c r="Q231" s="221"/>
      <c r="R231" s="225"/>
      <c r="S231" s="226"/>
      <c r="T231" s="235"/>
      <c r="U231" s="235"/>
      <c r="V231" s="226"/>
      <c r="W231" s="220"/>
      <c r="X231" s="224"/>
      <c r="Y231" s="220"/>
      <c r="Z231" s="219"/>
      <c r="AA231" s="226"/>
      <c r="AB231" s="227"/>
      <c r="AC231" s="226"/>
      <c r="AD231" s="228"/>
      <c r="AE231" s="226"/>
      <c r="AF231" s="229"/>
      <c r="AG231" s="230"/>
      <c r="AH231" s="231"/>
      <c r="AI231" s="231"/>
      <c r="AJ231" s="231"/>
    </row>
    <row r="232" spans="2:36" x14ac:dyDescent="0.2">
      <c r="B232" s="214" t="s">
        <v>489</v>
      </c>
      <c r="C232" s="214" t="s">
        <v>490</v>
      </c>
      <c r="D232" s="232" t="s">
        <v>555</v>
      </c>
      <c r="E232" s="216" t="s">
        <v>527</v>
      </c>
      <c r="F232" s="233"/>
      <c r="G232" s="218"/>
      <c r="H232" s="218"/>
      <c r="I232" s="220"/>
      <c r="J232" s="220"/>
      <c r="K232" s="219"/>
      <c r="L232" s="221"/>
      <c r="M232" s="221"/>
      <c r="N232" s="222"/>
      <c r="O232" s="221"/>
      <c r="P232" s="223"/>
      <c r="Q232" s="221"/>
      <c r="R232" s="225"/>
      <c r="S232" s="226"/>
      <c r="T232" s="235"/>
      <c r="U232" s="226"/>
      <c r="V232" s="226"/>
      <c r="W232" s="220"/>
      <c r="X232" s="224"/>
      <c r="Y232" s="220"/>
      <c r="Z232" s="219"/>
      <c r="AA232" s="226"/>
      <c r="AB232" s="227"/>
      <c r="AC232" s="226"/>
      <c r="AD232" s="223"/>
      <c r="AE232" s="235"/>
      <c r="AF232" s="229"/>
      <c r="AG232" s="230"/>
      <c r="AH232" s="231"/>
      <c r="AI232" s="239"/>
      <c r="AJ232" s="231"/>
    </row>
    <row r="233" spans="2:36" x14ac:dyDescent="0.2">
      <c r="B233" s="214" t="s">
        <v>489</v>
      </c>
      <c r="C233" s="214" t="s">
        <v>490</v>
      </c>
      <c r="D233" s="232" t="s">
        <v>1024</v>
      </c>
      <c r="E233" s="216" t="s">
        <v>527</v>
      </c>
      <c r="F233" s="233"/>
      <c r="G233" s="218"/>
      <c r="H233" s="218"/>
      <c r="I233" s="220"/>
      <c r="J233" s="220"/>
      <c r="K233" s="219"/>
      <c r="L233" s="221"/>
      <c r="M233" s="221"/>
      <c r="N233" s="222"/>
      <c r="O233" s="221"/>
      <c r="P233" s="223"/>
      <c r="Q233" s="224"/>
      <c r="R233" s="225"/>
      <c r="S233" s="226"/>
      <c r="T233" s="235"/>
      <c r="U233" s="235"/>
      <c r="V233" s="226"/>
      <c r="W233" s="220"/>
      <c r="X233" s="224"/>
      <c r="Y233" s="220"/>
      <c r="Z233" s="219"/>
      <c r="AA233" s="226"/>
      <c r="AB233" s="227"/>
      <c r="AC233" s="226"/>
      <c r="AD233" s="223"/>
      <c r="AE233" s="235"/>
      <c r="AF233" s="229"/>
      <c r="AG233" s="230"/>
      <c r="AH233" s="231"/>
      <c r="AI233" s="239"/>
      <c r="AJ233" s="231"/>
    </row>
    <row r="234" spans="2:36" x14ac:dyDescent="0.2">
      <c r="B234" s="214" t="s">
        <v>489</v>
      </c>
      <c r="C234" s="214" t="s">
        <v>430</v>
      </c>
      <c r="D234" s="232" t="s">
        <v>500</v>
      </c>
      <c r="E234" s="216" t="s">
        <v>199</v>
      </c>
      <c r="F234" s="217"/>
      <c r="G234" s="218"/>
      <c r="H234" s="218"/>
      <c r="I234" s="220"/>
      <c r="J234" s="218"/>
      <c r="K234" s="219"/>
      <c r="L234" s="221"/>
      <c r="M234" s="224"/>
      <c r="N234" s="219"/>
      <c r="O234" s="224"/>
      <c r="P234" s="223"/>
      <c r="Q234" s="224"/>
      <c r="R234" s="225"/>
      <c r="S234" s="235"/>
      <c r="T234" s="226"/>
      <c r="U234" s="226"/>
      <c r="V234" s="226"/>
      <c r="W234" s="220"/>
      <c r="X234" s="224"/>
      <c r="Y234" s="220"/>
      <c r="Z234" s="222"/>
      <c r="AA234" s="235"/>
      <c r="AB234" s="227"/>
      <c r="AC234" s="226"/>
      <c r="AD234" s="223"/>
      <c r="AE234" s="235"/>
      <c r="AF234" s="237"/>
      <c r="AG234" s="238"/>
      <c r="AH234" s="239"/>
      <c r="AI234" s="239"/>
      <c r="AJ234" s="239"/>
    </row>
    <row r="235" spans="2:36" x14ac:dyDescent="0.2">
      <c r="B235" s="214" t="s">
        <v>489</v>
      </c>
      <c r="C235" s="214" t="s">
        <v>430</v>
      </c>
      <c r="D235" s="232" t="s">
        <v>501</v>
      </c>
      <c r="E235" s="216" t="s">
        <v>527</v>
      </c>
      <c r="F235" s="217"/>
      <c r="G235" s="218"/>
      <c r="H235" s="218"/>
      <c r="I235" s="220"/>
      <c r="J235" s="220"/>
      <c r="K235" s="219"/>
      <c r="L235" s="221"/>
      <c r="M235" s="224"/>
      <c r="N235" s="219"/>
      <c r="O235" s="224"/>
      <c r="P235" s="223"/>
      <c r="Q235" s="224"/>
      <c r="R235" s="225"/>
      <c r="S235" s="226"/>
      <c r="T235" s="226"/>
      <c r="U235" s="226"/>
      <c r="V235" s="226"/>
      <c r="W235" s="218"/>
      <c r="X235" s="224"/>
      <c r="Y235" s="218"/>
      <c r="Z235" s="219"/>
      <c r="AA235" s="226"/>
      <c r="AB235" s="227"/>
      <c r="AC235" s="226"/>
      <c r="AD235" s="223"/>
      <c r="AE235" s="235"/>
      <c r="AF235" s="229"/>
      <c r="AG235" s="230"/>
      <c r="AH235" s="231"/>
      <c r="AI235" s="239"/>
      <c r="AJ235" s="231"/>
    </row>
    <row r="236" spans="2:36" ht="18" customHeight="1" x14ac:dyDescent="0.2">
      <c r="B236" s="214" t="s">
        <v>489</v>
      </c>
      <c r="C236" s="214" t="s">
        <v>430</v>
      </c>
      <c r="D236" s="232" t="s">
        <v>502</v>
      </c>
      <c r="E236" s="216" t="s">
        <v>527</v>
      </c>
      <c r="F236" s="217"/>
      <c r="G236" s="218"/>
      <c r="H236" s="218"/>
      <c r="I236" s="220"/>
      <c r="J236" s="218"/>
      <c r="K236" s="219"/>
      <c r="L236" s="221"/>
      <c r="M236" s="224"/>
      <c r="N236" s="219"/>
      <c r="O236" s="224"/>
      <c r="P236" s="223"/>
      <c r="Q236" s="224"/>
      <c r="R236" s="225"/>
      <c r="S236" s="226"/>
      <c r="T236" s="226"/>
      <c r="U236" s="226"/>
      <c r="V236" s="226"/>
      <c r="W236" s="218"/>
      <c r="X236" s="224"/>
      <c r="Y236" s="218"/>
      <c r="Z236" s="219"/>
      <c r="AA236" s="226"/>
      <c r="AB236" s="227"/>
      <c r="AC236" s="226"/>
      <c r="AD236" s="223"/>
      <c r="AE236" s="235"/>
      <c r="AF236" s="237"/>
      <c r="AG236" s="238"/>
      <c r="AH236" s="239"/>
      <c r="AI236" s="239"/>
      <c r="AJ236" s="239"/>
    </row>
    <row r="237" spans="2:36" ht="18" customHeight="1" x14ac:dyDescent="0.2">
      <c r="B237" s="214" t="s">
        <v>489</v>
      </c>
      <c r="C237" s="214" t="s">
        <v>430</v>
      </c>
      <c r="D237" s="232" t="s">
        <v>569</v>
      </c>
      <c r="E237" s="216" t="s">
        <v>527</v>
      </c>
      <c r="F237" s="217"/>
      <c r="G237" s="218"/>
      <c r="H237" s="218"/>
      <c r="I237" s="220"/>
      <c r="J237" s="218"/>
      <c r="K237" s="219"/>
      <c r="L237" s="221"/>
      <c r="M237" s="224"/>
      <c r="N237" s="219"/>
      <c r="O237" s="224"/>
      <c r="P237" s="223"/>
      <c r="Q237" s="224"/>
      <c r="R237" s="225"/>
      <c r="S237" s="226"/>
      <c r="T237" s="226"/>
      <c r="U237" s="226"/>
      <c r="V237" s="226"/>
      <c r="W237" s="218"/>
      <c r="X237" s="224"/>
      <c r="Y237" s="218"/>
      <c r="Z237" s="219"/>
      <c r="AA237" s="226"/>
      <c r="AB237" s="227"/>
      <c r="AC237" s="226"/>
      <c r="AD237" s="223"/>
      <c r="AE237" s="235"/>
      <c r="AF237" s="229"/>
      <c r="AG237" s="230"/>
      <c r="AH237" s="231"/>
      <c r="AI237" s="239"/>
      <c r="AJ237" s="231"/>
    </row>
    <row r="238" spans="2:36" x14ac:dyDescent="0.2">
      <c r="B238" s="214" t="s">
        <v>489</v>
      </c>
      <c r="C238" s="214" t="s">
        <v>430</v>
      </c>
      <c r="D238" s="232" t="s">
        <v>503</v>
      </c>
      <c r="E238" s="216" t="s">
        <v>199</v>
      </c>
      <c r="F238" s="217"/>
      <c r="G238" s="218"/>
      <c r="H238" s="218"/>
      <c r="I238" s="220"/>
      <c r="J238" s="218"/>
      <c r="K238" s="219"/>
      <c r="L238" s="221"/>
      <c r="M238" s="224"/>
      <c r="N238" s="219"/>
      <c r="O238" s="224"/>
      <c r="P238" s="223"/>
      <c r="Q238" s="224"/>
      <c r="R238" s="225"/>
      <c r="S238" s="226"/>
      <c r="T238" s="226"/>
      <c r="U238" s="226"/>
      <c r="V238" s="226"/>
      <c r="W238" s="218"/>
      <c r="X238" s="224"/>
      <c r="Y238" s="218"/>
      <c r="Z238" s="219"/>
      <c r="AA238" s="226"/>
      <c r="AB238" s="227"/>
      <c r="AC238" s="226"/>
      <c r="AD238" s="223"/>
      <c r="AE238" s="235"/>
      <c r="AF238" s="229"/>
      <c r="AG238" s="230"/>
      <c r="AH238" s="231"/>
      <c r="AI238" s="239"/>
      <c r="AJ238" s="231"/>
    </row>
    <row r="239" spans="2:36" x14ac:dyDescent="0.2">
      <c r="B239" s="214" t="s">
        <v>489</v>
      </c>
      <c r="C239" s="214" t="s">
        <v>430</v>
      </c>
      <c r="D239" s="232" t="s">
        <v>504</v>
      </c>
      <c r="E239" s="216" t="s">
        <v>199</v>
      </c>
      <c r="F239" s="217"/>
      <c r="G239" s="218"/>
      <c r="H239" s="218"/>
      <c r="I239" s="220"/>
      <c r="J239" s="218"/>
      <c r="K239" s="219"/>
      <c r="L239" s="221"/>
      <c r="M239" s="224"/>
      <c r="N239" s="219"/>
      <c r="O239" s="224"/>
      <c r="P239" s="223"/>
      <c r="Q239" s="224"/>
      <c r="R239" s="225"/>
      <c r="S239" s="226"/>
      <c r="T239" s="226"/>
      <c r="U239" s="226"/>
      <c r="V239" s="226"/>
      <c r="W239" s="218"/>
      <c r="X239" s="224"/>
      <c r="Y239" s="218"/>
      <c r="Z239" s="219"/>
      <c r="AA239" s="226"/>
      <c r="AB239" s="227"/>
      <c r="AC239" s="226"/>
      <c r="AD239" s="223"/>
      <c r="AE239" s="235"/>
      <c r="AF239" s="229"/>
      <c r="AG239" s="230"/>
      <c r="AH239" s="231"/>
      <c r="AI239" s="239"/>
      <c r="AJ239" s="231"/>
    </row>
    <row r="240" spans="2:36" x14ac:dyDescent="0.2">
      <c r="B240" s="214" t="s">
        <v>489</v>
      </c>
      <c r="C240" s="214" t="s">
        <v>430</v>
      </c>
      <c r="D240" s="232" t="s">
        <v>505</v>
      </c>
      <c r="E240" s="216" t="s">
        <v>527</v>
      </c>
      <c r="F240" s="217"/>
      <c r="G240" s="218"/>
      <c r="H240" s="218"/>
      <c r="I240" s="220"/>
      <c r="J240" s="218"/>
      <c r="K240" s="219"/>
      <c r="L240" s="221"/>
      <c r="M240" s="224"/>
      <c r="N240" s="219"/>
      <c r="O240" s="224"/>
      <c r="P240" s="223"/>
      <c r="Q240" s="224"/>
      <c r="R240" s="225"/>
      <c r="S240" s="226"/>
      <c r="T240" s="226"/>
      <c r="U240" s="226"/>
      <c r="V240" s="226"/>
      <c r="W240" s="218"/>
      <c r="X240" s="224"/>
      <c r="Y240" s="218"/>
      <c r="Z240" s="219"/>
      <c r="AA240" s="226"/>
      <c r="AB240" s="227"/>
      <c r="AC240" s="226"/>
      <c r="AD240" s="223"/>
      <c r="AE240" s="235"/>
      <c r="AF240" s="237"/>
      <c r="AG240" s="238"/>
      <c r="AH240" s="239"/>
      <c r="AI240" s="239"/>
      <c r="AJ240" s="239"/>
    </row>
    <row r="241" spans="2:36" ht="12" customHeight="1" x14ac:dyDescent="0.2">
      <c r="B241" s="214" t="s">
        <v>489</v>
      </c>
      <c r="C241" s="214" t="s">
        <v>430</v>
      </c>
      <c r="D241" s="232" t="s">
        <v>558</v>
      </c>
      <c r="E241" s="216" t="s">
        <v>199</v>
      </c>
      <c r="F241" s="217"/>
      <c r="G241" s="218"/>
      <c r="H241" s="218"/>
      <c r="I241" s="220"/>
      <c r="J241" s="220"/>
      <c r="K241" s="222"/>
      <c r="L241" s="221"/>
      <c r="M241" s="221"/>
      <c r="N241" s="222"/>
      <c r="O241" s="221"/>
      <c r="P241" s="223"/>
      <c r="Q241" s="224"/>
      <c r="R241" s="225"/>
      <c r="S241" s="226"/>
      <c r="T241" s="235"/>
      <c r="U241" s="235"/>
      <c r="V241" s="235"/>
      <c r="W241" s="220"/>
      <c r="X241" s="221"/>
      <c r="Y241" s="220"/>
      <c r="Z241" s="219"/>
      <c r="AA241" s="226"/>
      <c r="AB241" s="227"/>
      <c r="AC241" s="226"/>
      <c r="AD241" s="223"/>
      <c r="AE241" s="235"/>
      <c r="AF241" s="229"/>
      <c r="AG241" s="230"/>
      <c r="AH241" s="231"/>
      <c r="AI241" s="239"/>
      <c r="AJ241" s="231"/>
    </row>
    <row r="242" spans="2:36" ht="12" customHeight="1" x14ac:dyDescent="0.2">
      <c r="B242" s="214" t="s">
        <v>489</v>
      </c>
      <c r="C242" s="214" t="s">
        <v>430</v>
      </c>
      <c r="D242" s="232" t="s">
        <v>559</v>
      </c>
      <c r="E242" s="216" t="s">
        <v>199</v>
      </c>
      <c r="F242" s="217"/>
      <c r="G242" s="218"/>
      <c r="H242" s="218"/>
      <c r="I242" s="220"/>
      <c r="J242" s="218"/>
      <c r="K242" s="219"/>
      <c r="L242" s="221"/>
      <c r="M242" s="224"/>
      <c r="N242" s="219"/>
      <c r="O242" s="224"/>
      <c r="P242" s="223"/>
      <c r="Q242" s="224"/>
      <c r="R242" s="225"/>
      <c r="S242" s="226"/>
      <c r="T242" s="226"/>
      <c r="U242" s="226"/>
      <c r="V242" s="226"/>
      <c r="W242" s="218"/>
      <c r="X242" s="224"/>
      <c r="Y242" s="218"/>
      <c r="Z242" s="222"/>
      <c r="AA242" s="235"/>
      <c r="AB242" s="236"/>
      <c r="AC242" s="226"/>
      <c r="AD242" s="223"/>
      <c r="AE242" s="235"/>
      <c r="AF242" s="237"/>
      <c r="AG242" s="238"/>
      <c r="AH242" s="239"/>
      <c r="AI242" s="239"/>
      <c r="AJ242" s="239"/>
    </row>
    <row r="243" spans="2:36" x14ac:dyDescent="0.2">
      <c r="B243" s="214" t="s">
        <v>489</v>
      </c>
      <c r="C243" s="214" t="s">
        <v>430</v>
      </c>
      <c r="D243" s="232" t="s">
        <v>506</v>
      </c>
      <c r="E243" s="216" t="s">
        <v>552</v>
      </c>
      <c r="F243" s="217"/>
      <c r="G243" s="218"/>
      <c r="H243" s="218"/>
      <c r="I243" s="220"/>
      <c r="J243" s="218"/>
      <c r="K243" s="219"/>
      <c r="L243" s="221"/>
      <c r="M243" s="224"/>
      <c r="N243" s="219"/>
      <c r="O243" s="224"/>
      <c r="P243" s="223"/>
      <c r="Q243" s="224"/>
      <c r="R243" s="225"/>
      <c r="S243" s="226"/>
      <c r="T243" s="226"/>
      <c r="U243" s="226"/>
      <c r="V243" s="226"/>
      <c r="W243" s="218"/>
      <c r="X243" s="224"/>
      <c r="Y243" s="218"/>
      <c r="Z243" s="219"/>
      <c r="AA243" s="226"/>
      <c r="AB243" s="227"/>
      <c r="AC243" s="226"/>
      <c r="AD243" s="223"/>
      <c r="AE243" s="235"/>
      <c r="AF243" s="229"/>
      <c r="AG243" s="230"/>
      <c r="AH243" s="231"/>
      <c r="AI243" s="239"/>
      <c r="AJ243" s="231"/>
    </row>
    <row r="244" spans="2:36" x14ac:dyDescent="0.2">
      <c r="B244" s="214" t="s">
        <v>489</v>
      </c>
      <c r="C244" s="214" t="s">
        <v>430</v>
      </c>
      <c r="D244" s="232" t="s">
        <v>507</v>
      </c>
      <c r="E244" s="216" t="s">
        <v>199</v>
      </c>
      <c r="F244" s="217"/>
      <c r="G244" s="218"/>
      <c r="H244" s="218"/>
      <c r="I244" s="220"/>
      <c r="J244" s="218"/>
      <c r="K244" s="219"/>
      <c r="L244" s="221"/>
      <c r="M244" s="224"/>
      <c r="N244" s="219"/>
      <c r="O244" s="224"/>
      <c r="P244" s="223"/>
      <c r="Q244" s="224"/>
      <c r="R244" s="225"/>
      <c r="S244" s="226"/>
      <c r="T244" s="226"/>
      <c r="U244" s="226"/>
      <c r="V244" s="226"/>
      <c r="W244" s="218"/>
      <c r="X244" s="224"/>
      <c r="Y244" s="218"/>
      <c r="Z244" s="219"/>
      <c r="AA244" s="226"/>
      <c r="AB244" s="227"/>
      <c r="AC244" s="226"/>
      <c r="AD244" s="223"/>
      <c r="AE244" s="235"/>
      <c r="AF244" s="229"/>
      <c r="AG244" s="230"/>
      <c r="AH244" s="231"/>
      <c r="AI244" s="239"/>
      <c r="AJ244" s="231"/>
    </row>
    <row r="245" spans="2:36" x14ac:dyDescent="0.2">
      <c r="B245" s="214" t="s">
        <v>489</v>
      </c>
      <c r="C245" s="214" t="s">
        <v>430</v>
      </c>
      <c r="D245" s="232" t="s">
        <v>508</v>
      </c>
      <c r="E245" s="216" t="s">
        <v>533</v>
      </c>
      <c r="F245" s="217"/>
      <c r="G245" s="218"/>
      <c r="H245" s="218"/>
      <c r="I245" s="220"/>
      <c r="J245" s="218"/>
      <c r="K245" s="219"/>
      <c r="L245" s="221"/>
      <c r="M245" s="224"/>
      <c r="N245" s="219"/>
      <c r="O245" s="224"/>
      <c r="P245" s="223"/>
      <c r="Q245" s="224"/>
      <c r="R245" s="225"/>
      <c r="S245" s="226"/>
      <c r="T245" s="226"/>
      <c r="U245" s="226"/>
      <c r="V245" s="226"/>
      <c r="W245" s="218"/>
      <c r="X245" s="224"/>
      <c r="Y245" s="218"/>
      <c r="Z245" s="219"/>
      <c r="AA245" s="226"/>
      <c r="AB245" s="227"/>
      <c r="AC245" s="226"/>
      <c r="AD245" s="223"/>
      <c r="AE245" s="235"/>
      <c r="AF245" s="229"/>
      <c r="AG245" s="230"/>
      <c r="AH245" s="231"/>
      <c r="AI245" s="239"/>
      <c r="AJ245" s="231"/>
    </row>
    <row r="246" spans="2:36" ht="16.5" customHeight="1" x14ac:dyDescent="0.2">
      <c r="B246" s="214" t="s">
        <v>489</v>
      </c>
      <c r="C246" s="214" t="s">
        <v>430</v>
      </c>
      <c r="D246" s="244" t="s">
        <v>509</v>
      </c>
      <c r="E246" s="216" t="s">
        <v>199</v>
      </c>
      <c r="F246" s="217"/>
      <c r="G246" s="218"/>
      <c r="H246" s="218"/>
      <c r="I246" s="220"/>
      <c r="J246" s="218"/>
      <c r="K246" s="219"/>
      <c r="L246" s="221"/>
      <c r="M246" s="224"/>
      <c r="N246" s="219"/>
      <c r="O246" s="224"/>
      <c r="P246" s="223"/>
      <c r="Q246" s="224"/>
      <c r="R246" s="225"/>
      <c r="S246" s="226"/>
      <c r="T246" s="226"/>
      <c r="U246" s="226"/>
      <c r="V246" s="226"/>
      <c r="W246" s="218"/>
      <c r="X246" s="224"/>
      <c r="Y246" s="218"/>
      <c r="Z246" s="219"/>
      <c r="AA246" s="226"/>
      <c r="AB246" s="227"/>
      <c r="AC246" s="226"/>
      <c r="AD246" s="223"/>
      <c r="AE246" s="235"/>
      <c r="AF246" s="229"/>
      <c r="AG246" s="230"/>
      <c r="AH246" s="231"/>
      <c r="AI246" s="239"/>
      <c r="AJ246" s="231"/>
    </row>
    <row r="247" spans="2:36" x14ac:dyDescent="0.2">
      <c r="B247" s="214" t="s">
        <v>489</v>
      </c>
      <c r="C247" s="214" t="s">
        <v>430</v>
      </c>
      <c r="D247" s="232" t="s">
        <v>510</v>
      </c>
      <c r="E247" s="216" t="s">
        <v>199</v>
      </c>
      <c r="F247" s="217"/>
      <c r="G247" s="218"/>
      <c r="H247" s="218"/>
      <c r="I247" s="220"/>
      <c r="J247" s="218"/>
      <c r="K247" s="219"/>
      <c r="L247" s="221"/>
      <c r="M247" s="224"/>
      <c r="N247" s="219"/>
      <c r="O247" s="224"/>
      <c r="P247" s="223"/>
      <c r="Q247" s="224"/>
      <c r="R247" s="225"/>
      <c r="S247" s="226"/>
      <c r="T247" s="226"/>
      <c r="U247" s="226"/>
      <c r="V247" s="226"/>
      <c r="W247" s="218"/>
      <c r="X247" s="224"/>
      <c r="Y247" s="218"/>
      <c r="Z247" s="219"/>
      <c r="AA247" s="226"/>
      <c r="AB247" s="227"/>
      <c r="AC247" s="226"/>
      <c r="AD247" s="223"/>
      <c r="AE247" s="235"/>
      <c r="AF247" s="229"/>
      <c r="AG247" s="230"/>
      <c r="AH247" s="231"/>
      <c r="AI247" s="239"/>
      <c r="AJ247" s="231"/>
    </row>
    <row r="248" spans="2:36" x14ac:dyDescent="0.2">
      <c r="B248" s="214" t="s">
        <v>489</v>
      </c>
      <c r="C248" s="214" t="s">
        <v>430</v>
      </c>
      <c r="D248" s="232" t="s">
        <v>560</v>
      </c>
      <c r="E248" s="216" t="s">
        <v>199</v>
      </c>
      <c r="F248" s="217"/>
      <c r="G248" s="218"/>
      <c r="H248" s="218"/>
      <c r="I248" s="220"/>
      <c r="J248" s="218"/>
      <c r="K248" s="219"/>
      <c r="L248" s="221"/>
      <c r="M248" s="224"/>
      <c r="N248" s="219"/>
      <c r="O248" s="224"/>
      <c r="P248" s="223"/>
      <c r="Q248" s="224"/>
      <c r="R248" s="225"/>
      <c r="S248" s="226"/>
      <c r="T248" s="226"/>
      <c r="U248" s="226"/>
      <c r="V248" s="226"/>
      <c r="W248" s="218"/>
      <c r="X248" s="224"/>
      <c r="Y248" s="218"/>
      <c r="Z248" s="219"/>
      <c r="AA248" s="226"/>
      <c r="AB248" s="227"/>
      <c r="AC248" s="226"/>
      <c r="AD248" s="223"/>
      <c r="AE248" s="235"/>
      <c r="AF248" s="229"/>
      <c r="AG248" s="230"/>
      <c r="AH248" s="231"/>
      <c r="AI248" s="239"/>
      <c r="AJ248" s="231"/>
    </row>
    <row r="249" spans="2:36" x14ac:dyDescent="0.2">
      <c r="B249" s="214" t="s">
        <v>489</v>
      </c>
      <c r="C249" s="214" t="s">
        <v>430</v>
      </c>
      <c r="D249" s="232" t="s">
        <v>511</v>
      </c>
      <c r="E249" s="216" t="s">
        <v>527</v>
      </c>
      <c r="F249" s="217"/>
      <c r="G249" s="218"/>
      <c r="H249" s="218"/>
      <c r="I249" s="220"/>
      <c r="J249" s="218"/>
      <c r="K249" s="219"/>
      <c r="L249" s="221"/>
      <c r="M249" s="224"/>
      <c r="N249" s="219"/>
      <c r="O249" s="224"/>
      <c r="P249" s="223"/>
      <c r="Q249" s="224"/>
      <c r="R249" s="225"/>
      <c r="S249" s="226"/>
      <c r="T249" s="226"/>
      <c r="U249" s="226"/>
      <c r="V249" s="226"/>
      <c r="W249" s="218"/>
      <c r="X249" s="224"/>
      <c r="Y249" s="218"/>
      <c r="Z249" s="219"/>
      <c r="AA249" s="226"/>
      <c r="AB249" s="227"/>
      <c r="AC249" s="226"/>
      <c r="AD249" s="223"/>
      <c r="AE249" s="235"/>
      <c r="AF249" s="237"/>
      <c r="AG249" s="238"/>
      <c r="AH249" s="239"/>
      <c r="AI249" s="239"/>
      <c r="AJ249" s="239"/>
    </row>
    <row r="250" spans="2:36" x14ac:dyDescent="0.2">
      <c r="B250" s="214" t="s">
        <v>489</v>
      </c>
      <c r="C250" s="214" t="s">
        <v>430</v>
      </c>
      <c r="D250" s="232" t="s">
        <v>561</v>
      </c>
      <c r="E250" s="216" t="s">
        <v>527</v>
      </c>
      <c r="F250" s="217"/>
      <c r="G250" s="218"/>
      <c r="H250" s="218"/>
      <c r="I250" s="220"/>
      <c r="J250" s="218"/>
      <c r="K250" s="219"/>
      <c r="L250" s="221"/>
      <c r="M250" s="224"/>
      <c r="N250" s="219"/>
      <c r="O250" s="224"/>
      <c r="P250" s="223"/>
      <c r="Q250" s="224"/>
      <c r="R250" s="225"/>
      <c r="S250" s="226"/>
      <c r="T250" s="226"/>
      <c r="U250" s="226"/>
      <c r="V250" s="226"/>
      <c r="W250" s="218"/>
      <c r="X250" s="224"/>
      <c r="Y250" s="218"/>
      <c r="Z250" s="219"/>
      <c r="AA250" s="226"/>
      <c r="AB250" s="227"/>
      <c r="AC250" s="226"/>
      <c r="AD250" s="223"/>
      <c r="AE250" s="235"/>
      <c r="AF250" s="229"/>
      <c r="AG250" s="230"/>
      <c r="AH250" s="231"/>
      <c r="AI250" s="239"/>
      <c r="AJ250" s="231"/>
    </row>
    <row r="251" spans="2:36" x14ac:dyDescent="0.2">
      <c r="B251" s="214" t="s">
        <v>489</v>
      </c>
      <c r="C251" s="214" t="s">
        <v>430</v>
      </c>
      <c r="D251" s="232" t="s">
        <v>512</v>
      </c>
      <c r="E251" s="216" t="s">
        <v>552</v>
      </c>
      <c r="F251" s="217"/>
      <c r="G251" s="218"/>
      <c r="H251" s="218"/>
      <c r="I251" s="220"/>
      <c r="J251" s="218"/>
      <c r="K251" s="219"/>
      <c r="L251" s="221"/>
      <c r="M251" s="224"/>
      <c r="N251" s="219"/>
      <c r="O251" s="224"/>
      <c r="P251" s="223"/>
      <c r="Q251" s="224"/>
      <c r="R251" s="225"/>
      <c r="S251" s="226"/>
      <c r="T251" s="226"/>
      <c r="U251" s="226"/>
      <c r="V251" s="226"/>
      <c r="W251" s="218"/>
      <c r="X251" s="224"/>
      <c r="Y251" s="218"/>
      <c r="Z251" s="219"/>
      <c r="AA251" s="226"/>
      <c r="AB251" s="227"/>
      <c r="AC251" s="226"/>
      <c r="AD251" s="223"/>
      <c r="AE251" s="235"/>
      <c r="AF251" s="237"/>
      <c r="AG251" s="238"/>
      <c r="AH251" s="239"/>
      <c r="AI251" s="239"/>
      <c r="AJ251" s="239"/>
    </row>
    <row r="252" spans="2:36" x14ac:dyDescent="0.2">
      <c r="B252" s="214" t="s">
        <v>489</v>
      </c>
      <c r="C252" s="214" t="s">
        <v>430</v>
      </c>
      <c r="D252" s="232" t="s">
        <v>513</v>
      </c>
      <c r="E252" s="216" t="s">
        <v>552</v>
      </c>
      <c r="F252" s="217"/>
      <c r="G252" s="218"/>
      <c r="H252" s="218"/>
      <c r="I252" s="220"/>
      <c r="J252" s="218"/>
      <c r="K252" s="219"/>
      <c r="L252" s="221"/>
      <c r="M252" s="224"/>
      <c r="N252" s="219"/>
      <c r="O252" s="224"/>
      <c r="P252" s="223"/>
      <c r="Q252" s="224"/>
      <c r="R252" s="225"/>
      <c r="S252" s="226"/>
      <c r="T252" s="226"/>
      <c r="U252" s="226"/>
      <c r="V252" s="226"/>
      <c r="W252" s="220"/>
      <c r="X252" s="224"/>
      <c r="Y252" s="220"/>
      <c r="Z252" s="219"/>
      <c r="AA252" s="226"/>
      <c r="AB252" s="227"/>
      <c r="AC252" s="226"/>
      <c r="AD252" s="223"/>
      <c r="AE252" s="235"/>
      <c r="AF252" s="229"/>
      <c r="AG252" s="230"/>
      <c r="AH252" s="231"/>
      <c r="AI252" s="239"/>
      <c r="AJ252" s="231"/>
    </row>
    <row r="253" spans="2:36" x14ac:dyDescent="0.2">
      <c r="B253" s="214" t="s">
        <v>489</v>
      </c>
      <c r="C253" s="214" t="s">
        <v>430</v>
      </c>
      <c r="D253" s="232" t="s">
        <v>514</v>
      </c>
      <c r="E253" s="216" t="s">
        <v>199</v>
      </c>
      <c r="F253" s="217"/>
      <c r="G253" s="218"/>
      <c r="H253" s="218"/>
      <c r="I253" s="220"/>
      <c r="J253" s="218"/>
      <c r="K253" s="219"/>
      <c r="L253" s="221"/>
      <c r="M253" s="224"/>
      <c r="N253" s="219"/>
      <c r="O253" s="224"/>
      <c r="P253" s="223"/>
      <c r="Q253" s="224"/>
      <c r="R253" s="225"/>
      <c r="S253" s="226"/>
      <c r="T253" s="226"/>
      <c r="U253" s="226"/>
      <c r="V253" s="226"/>
      <c r="W253" s="218"/>
      <c r="X253" s="224"/>
      <c r="Y253" s="218"/>
      <c r="Z253" s="219"/>
      <c r="AA253" s="226"/>
      <c r="AB253" s="227"/>
      <c r="AC253" s="226"/>
      <c r="AD253" s="223"/>
      <c r="AE253" s="235"/>
      <c r="AF253" s="237"/>
      <c r="AG253" s="238"/>
      <c r="AH253" s="239"/>
      <c r="AI253" s="239"/>
      <c r="AJ253" s="239"/>
    </row>
    <row r="254" spans="2:36" ht="15" customHeight="1" x14ac:dyDescent="0.2">
      <c r="B254" s="214" t="s">
        <v>489</v>
      </c>
      <c r="C254" s="214" t="s">
        <v>430</v>
      </c>
      <c r="D254" s="232" t="s">
        <v>515</v>
      </c>
      <c r="E254" s="216" t="s">
        <v>527</v>
      </c>
      <c r="F254" s="217"/>
      <c r="G254" s="218"/>
      <c r="H254" s="218"/>
      <c r="I254" s="220"/>
      <c r="J254" s="218"/>
      <c r="K254" s="219"/>
      <c r="L254" s="221"/>
      <c r="M254" s="221"/>
      <c r="N254" s="219"/>
      <c r="O254" s="224"/>
      <c r="P254" s="223"/>
      <c r="Q254" s="224"/>
      <c r="R254" s="225"/>
      <c r="S254" s="226"/>
      <c r="T254" s="226"/>
      <c r="U254" s="226"/>
      <c r="V254" s="226"/>
      <c r="W254" s="218"/>
      <c r="X254" s="224"/>
      <c r="Y254" s="218"/>
      <c r="Z254" s="219"/>
      <c r="AA254" s="226"/>
      <c r="AB254" s="227"/>
      <c r="AC254" s="226"/>
      <c r="AD254" s="223"/>
      <c r="AE254" s="235"/>
      <c r="AF254" s="237"/>
      <c r="AG254" s="238"/>
      <c r="AH254" s="239"/>
      <c r="AI254" s="239"/>
      <c r="AJ254" s="239"/>
    </row>
    <row r="255" spans="2:36" ht="14.25" customHeight="1" x14ac:dyDescent="0.2">
      <c r="B255" s="214" t="s">
        <v>489</v>
      </c>
      <c r="C255" s="214" t="s">
        <v>430</v>
      </c>
      <c r="D255" s="232" t="s">
        <v>516</v>
      </c>
      <c r="E255" s="216" t="s">
        <v>552</v>
      </c>
      <c r="F255" s="217"/>
      <c r="G255" s="218"/>
      <c r="H255" s="218"/>
      <c r="I255" s="220"/>
      <c r="J255" s="218"/>
      <c r="K255" s="219"/>
      <c r="L255" s="221"/>
      <c r="M255" s="224"/>
      <c r="N255" s="219"/>
      <c r="O255" s="224"/>
      <c r="P255" s="223"/>
      <c r="Q255" s="224"/>
      <c r="R255" s="225"/>
      <c r="S255" s="226"/>
      <c r="T255" s="226"/>
      <c r="U255" s="226"/>
      <c r="V255" s="226"/>
      <c r="W255" s="218"/>
      <c r="X255" s="224"/>
      <c r="Y255" s="218"/>
      <c r="Z255" s="219"/>
      <c r="AA255" s="226"/>
      <c r="AB255" s="227"/>
      <c r="AC255" s="226"/>
      <c r="AD255" s="223"/>
      <c r="AE255" s="235"/>
      <c r="AF255" s="229"/>
      <c r="AG255" s="230"/>
      <c r="AH255" s="231"/>
      <c r="AI255" s="239"/>
      <c r="AJ255" s="231"/>
    </row>
    <row r="256" spans="2:36" x14ac:dyDescent="0.2">
      <c r="B256" s="214" t="s">
        <v>489</v>
      </c>
      <c r="C256" s="214" t="s">
        <v>430</v>
      </c>
      <c r="D256" s="232" t="s">
        <v>517</v>
      </c>
      <c r="E256" s="216" t="s">
        <v>96</v>
      </c>
      <c r="F256" s="217"/>
      <c r="G256" s="218"/>
      <c r="H256" s="218"/>
      <c r="I256" s="220"/>
      <c r="J256" s="218"/>
      <c r="K256" s="219"/>
      <c r="L256" s="221"/>
      <c r="M256" s="224"/>
      <c r="N256" s="219"/>
      <c r="O256" s="224"/>
      <c r="P256" s="223"/>
      <c r="Q256" s="224"/>
      <c r="R256" s="225"/>
      <c r="S256" s="226"/>
      <c r="T256" s="226"/>
      <c r="U256" s="226"/>
      <c r="V256" s="226"/>
      <c r="W256" s="218"/>
      <c r="X256" s="224"/>
      <c r="Y256" s="218"/>
      <c r="Z256" s="219"/>
      <c r="AA256" s="226"/>
      <c r="AB256" s="227"/>
      <c r="AC256" s="226"/>
      <c r="AD256" s="223"/>
      <c r="AE256" s="235"/>
      <c r="AF256" s="237"/>
      <c r="AG256" s="238"/>
      <c r="AH256" s="239"/>
      <c r="AI256" s="239"/>
      <c r="AJ256" s="239"/>
    </row>
    <row r="257" spans="8:36" x14ac:dyDescent="0.2">
      <c r="J257" s="210"/>
      <c r="L257" s="173"/>
      <c r="M257" s="173"/>
      <c r="N257" s="173"/>
      <c r="O257" s="173"/>
      <c r="Q257" s="173"/>
      <c r="R257" s="173"/>
      <c r="S257" s="173"/>
      <c r="T257" s="173"/>
      <c r="U257" s="173"/>
      <c r="V257" s="173"/>
      <c r="W257" s="190"/>
      <c r="X257" s="173"/>
      <c r="Y257" s="184"/>
      <c r="Z257" s="173"/>
      <c r="AA257" s="173"/>
      <c r="AB257" s="173"/>
      <c r="AC257" s="173"/>
      <c r="AD257" s="173"/>
      <c r="AE257" s="173"/>
      <c r="AF257" s="173"/>
      <c r="AG257" s="173"/>
      <c r="AH257" s="173"/>
      <c r="AI257" s="173"/>
      <c r="AJ257" s="173"/>
    </row>
    <row r="258" spans="8:36" x14ac:dyDescent="0.2">
      <c r="H258" s="177" t="s">
        <v>0</v>
      </c>
      <c r="J258" s="178"/>
      <c r="L258" s="173"/>
      <c r="M258" s="173"/>
      <c r="N258" s="173"/>
      <c r="O258" s="173"/>
      <c r="Q258" s="173"/>
      <c r="R258" s="173"/>
      <c r="S258" s="173"/>
      <c r="T258" s="173"/>
      <c r="U258" s="173"/>
      <c r="V258" s="173"/>
      <c r="W258" s="173"/>
      <c r="X258" s="173"/>
      <c r="Y258" s="179"/>
      <c r="Z258" s="173"/>
      <c r="AA258" s="173"/>
      <c r="AB258" s="173"/>
      <c r="AC258" s="173"/>
      <c r="AD258" s="173"/>
      <c r="AE258" s="173"/>
      <c r="AF258" s="173"/>
      <c r="AG258" s="173"/>
      <c r="AH258" s="173"/>
      <c r="AI258" s="173"/>
      <c r="AJ258" s="173"/>
    </row>
    <row r="259" spans="8:36" x14ac:dyDescent="0.2">
      <c r="J259" s="178"/>
      <c r="L259" s="173"/>
      <c r="M259" s="173"/>
      <c r="N259" s="173"/>
      <c r="O259" s="173"/>
      <c r="Q259" s="173"/>
      <c r="R259" s="173"/>
      <c r="S259" s="173"/>
      <c r="T259" s="173"/>
      <c r="U259" s="173"/>
      <c r="V259" s="173"/>
      <c r="W259" s="173"/>
      <c r="X259" s="173"/>
      <c r="Y259" s="179"/>
      <c r="Z259" s="173"/>
      <c r="AA259" s="173"/>
      <c r="AB259" s="173"/>
      <c r="AC259" s="173"/>
      <c r="AD259" s="173"/>
      <c r="AE259" s="173"/>
      <c r="AF259" s="173"/>
      <c r="AG259" s="173"/>
      <c r="AH259" s="173"/>
      <c r="AI259" s="173"/>
      <c r="AJ259" s="173"/>
    </row>
    <row r="260" spans="8:36" x14ac:dyDescent="0.2">
      <c r="J260" s="178"/>
      <c r="L260" s="173"/>
      <c r="M260" s="173"/>
      <c r="N260" s="173"/>
      <c r="O260" s="173"/>
      <c r="Q260" s="173"/>
      <c r="R260" s="173"/>
      <c r="S260" s="173"/>
      <c r="T260" s="173"/>
      <c r="U260" s="173"/>
      <c r="V260" s="173"/>
      <c r="W260" s="173"/>
      <c r="X260" s="173"/>
      <c r="Y260" s="179"/>
      <c r="Z260" s="173"/>
      <c r="AA260" s="173"/>
      <c r="AB260" s="173"/>
      <c r="AC260" s="173"/>
      <c r="AD260" s="173"/>
      <c r="AE260" s="173"/>
      <c r="AF260" s="173"/>
      <c r="AG260" s="173"/>
      <c r="AH260" s="173"/>
      <c r="AI260" s="173"/>
      <c r="AJ260" s="173"/>
    </row>
    <row r="261" spans="8:36" x14ac:dyDescent="0.2">
      <c r="J261" s="178"/>
      <c r="L261" s="173"/>
      <c r="M261" s="173"/>
      <c r="N261" s="173"/>
      <c r="O261" s="173"/>
      <c r="Q261" s="173"/>
      <c r="R261" s="173"/>
      <c r="S261" s="173"/>
      <c r="T261" s="173"/>
      <c r="U261" s="173"/>
      <c r="V261" s="173"/>
      <c r="W261" s="173"/>
      <c r="X261" s="173"/>
      <c r="Y261" s="179"/>
      <c r="Z261" s="173"/>
      <c r="AA261" s="173"/>
      <c r="AB261" s="173"/>
      <c r="AC261" s="173"/>
      <c r="AD261" s="173"/>
      <c r="AE261" s="173"/>
      <c r="AF261" s="173"/>
      <c r="AG261" s="173"/>
      <c r="AH261" s="173"/>
      <c r="AI261" s="173"/>
      <c r="AJ261" s="173"/>
    </row>
    <row r="262" spans="8:36" x14ac:dyDescent="0.2">
      <c r="J262" s="178"/>
      <c r="L262" s="173"/>
      <c r="M262" s="173"/>
      <c r="N262" s="173"/>
      <c r="O262" s="183"/>
      <c r="Q262" s="173"/>
      <c r="R262" s="173"/>
      <c r="S262" s="173"/>
      <c r="T262" s="173"/>
      <c r="U262" s="173"/>
      <c r="V262" s="173" t="s">
        <v>0</v>
      </c>
      <c r="W262" s="173"/>
      <c r="X262" s="173"/>
      <c r="Y262" s="179"/>
      <c r="Z262" s="173"/>
      <c r="AA262" s="173"/>
      <c r="AB262" s="173"/>
      <c r="AC262" s="173"/>
      <c r="AD262" s="173"/>
      <c r="AE262" s="173"/>
      <c r="AF262" s="173"/>
      <c r="AG262" s="173"/>
      <c r="AH262" s="173"/>
      <c r="AI262" s="173"/>
      <c r="AJ262" s="173"/>
    </row>
    <row r="263" spans="8:36" x14ac:dyDescent="0.2">
      <c r="J263" s="178"/>
      <c r="L263" s="173"/>
      <c r="M263" s="173"/>
      <c r="N263" s="173"/>
      <c r="O263" s="173"/>
      <c r="Q263" s="173"/>
      <c r="R263" s="173"/>
      <c r="S263" s="173"/>
      <c r="T263" s="173"/>
      <c r="U263" s="173"/>
      <c r="V263" s="173"/>
      <c r="W263" s="173"/>
      <c r="X263" s="173"/>
      <c r="Y263" s="179"/>
      <c r="Z263" s="173"/>
      <c r="AA263" s="173"/>
      <c r="AB263" s="173"/>
      <c r="AC263" s="173"/>
      <c r="AD263" s="173"/>
      <c r="AE263" s="173"/>
      <c r="AF263" s="173"/>
      <c r="AG263" s="173"/>
      <c r="AH263" s="173"/>
      <c r="AI263" s="173"/>
      <c r="AJ263" s="173"/>
    </row>
    <row r="264" spans="8:36" x14ac:dyDescent="0.2">
      <c r="J264" s="178"/>
      <c r="L264" s="173"/>
      <c r="M264" s="173"/>
      <c r="N264" s="173"/>
      <c r="O264" s="173"/>
      <c r="Q264" s="173"/>
      <c r="R264" s="173"/>
      <c r="S264" s="173"/>
      <c r="T264" s="173"/>
      <c r="U264" s="173"/>
      <c r="V264" s="173"/>
      <c r="W264" s="173"/>
      <c r="X264" s="173"/>
      <c r="Y264" s="179"/>
      <c r="Z264" s="173"/>
      <c r="AA264" s="173"/>
      <c r="AB264" s="173"/>
      <c r="AC264" s="173"/>
      <c r="AD264" s="173"/>
      <c r="AE264" s="173"/>
      <c r="AF264" s="173"/>
      <c r="AG264" s="173"/>
      <c r="AH264" s="173"/>
      <c r="AI264" s="173"/>
      <c r="AJ264" s="173"/>
    </row>
    <row r="265" spans="8:36" x14ac:dyDescent="0.2">
      <c r="J265" s="178"/>
      <c r="L265" s="173"/>
      <c r="M265" s="173"/>
      <c r="N265" s="173"/>
      <c r="O265" s="173"/>
      <c r="Q265" s="173"/>
      <c r="R265" s="173"/>
      <c r="S265" s="173"/>
      <c r="T265" s="173"/>
      <c r="U265" s="173"/>
      <c r="V265" s="173"/>
      <c r="W265" s="173"/>
      <c r="X265" s="173"/>
      <c r="Y265" s="179"/>
      <c r="Z265" s="173"/>
      <c r="AA265" s="173"/>
      <c r="AB265" s="173"/>
      <c r="AC265" s="173"/>
      <c r="AD265" s="173"/>
      <c r="AE265" s="173"/>
      <c r="AF265" s="173"/>
      <c r="AG265" s="173"/>
      <c r="AH265" s="173"/>
      <c r="AI265" s="173"/>
      <c r="AJ265" s="173"/>
    </row>
    <row r="266" spans="8:36" x14ac:dyDescent="0.2">
      <c r="J266" s="178" t="s">
        <v>0</v>
      </c>
      <c r="L266" s="173"/>
      <c r="M266" s="173"/>
      <c r="N266" s="173"/>
      <c r="O266" s="173"/>
      <c r="Q266" s="173"/>
      <c r="R266" s="173"/>
      <c r="S266" s="173"/>
      <c r="T266" s="173"/>
      <c r="U266" s="173"/>
      <c r="V266" s="173"/>
      <c r="W266" s="173"/>
      <c r="X266" s="173"/>
      <c r="Y266" s="179"/>
      <c r="Z266" s="173"/>
      <c r="AA266" s="173"/>
      <c r="AB266" s="173"/>
      <c r="AC266" s="173"/>
      <c r="AD266" s="173"/>
      <c r="AE266" s="173"/>
      <c r="AF266" s="173"/>
      <c r="AG266" s="173"/>
      <c r="AH266" s="173"/>
      <c r="AI266" s="173"/>
      <c r="AJ266" s="173"/>
    </row>
    <row r="267" spans="8:36" x14ac:dyDescent="0.2">
      <c r="L267" s="173"/>
      <c r="M267" s="173"/>
      <c r="N267" s="173"/>
      <c r="O267" s="173"/>
      <c r="Q267" s="173"/>
      <c r="R267" s="173"/>
      <c r="S267" s="173"/>
      <c r="T267" s="173"/>
      <c r="U267" s="173"/>
      <c r="V267" s="173"/>
      <c r="W267" s="173"/>
      <c r="X267" s="173"/>
      <c r="Y267" s="179"/>
      <c r="Z267" s="173"/>
      <c r="AA267" s="173"/>
      <c r="AB267" s="173"/>
      <c r="AC267" s="173"/>
      <c r="AD267" s="173"/>
      <c r="AE267" s="173"/>
      <c r="AF267" s="173"/>
      <c r="AG267" s="173"/>
      <c r="AH267" s="173"/>
      <c r="AI267" s="173"/>
      <c r="AJ267" s="173"/>
    </row>
    <row r="268" spans="8:36" x14ac:dyDescent="0.2">
      <c r="L268" s="173"/>
      <c r="M268" s="173"/>
      <c r="N268" s="173"/>
      <c r="O268" s="173"/>
      <c r="Q268" s="173"/>
      <c r="R268" s="173"/>
      <c r="S268" s="173"/>
      <c r="T268" s="173"/>
      <c r="U268" s="173"/>
      <c r="V268" s="173"/>
      <c r="W268" s="173"/>
      <c r="X268" s="173"/>
      <c r="Y268" s="179"/>
      <c r="Z268" s="173"/>
      <c r="AA268" s="173"/>
      <c r="AB268" s="173"/>
      <c r="AC268" s="173"/>
      <c r="AD268" s="173"/>
      <c r="AE268" s="173"/>
      <c r="AF268" s="173"/>
      <c r="AG268" s="173"/>
      <c r="AH268" s="173"/>
      <c r="AI268" s="173"/>
      <c r="AJ268" s="173"/>
    </row>
    <row r="269" spans="8:36" x14ac:dyDescent="0.2">
      <c r="L269" s="173"/>
      <c r="M269" s="173"/>
      <c r="N269" s="173"/>
      <c r="O269" s="173"/>
      <c r="Q269" s="173"/>
      <c r="R269" s="173"/>
      <c r="S269" s="173"/>
      <c r="T269" s="173"/>
      <c r="U269" s="173"/>
      <c r="V269" s="173"/>
      <c r="W269" s="173"/>
      <c r="X269" s="173"/>
      <c r="Y269" s="179"/>
      <c r="Z269" s="173"/>
      <c r="AA269" s="173"/>
      <c r="AB269" s="173"/>
      <c r="AC269" s="173"/>
      <c r="AD269" s="173"/>
      <c r="AE269" s="173"/>
      <c r="AF269" s="173"/>
      <c r="AG269" s="173"/>
      <c r="AH269" s="173"/>
      <c r="AI269" s="173"/>
      <c r="AJ269" s="173"/>
    </row>
    <row r="270" spans="8:36" x14ac:dyDescent="0.2">
      <c r="L270" s="173"/>
      <c r="M270" s="173"/>
      <c r="N270" s="173"/>
      <c r="O270" s="173"/>
      <c r="Q270" s="173"/>
      <c r="R270" s="173"/>
      <c r="S270" s="173"/>
      <c r="T270" s="173"/>
      <c r="U270" s="173"/>
      <c r="V270" s="173"/>
      <c r="W270" s="173"/>
      <c r="X270" s="173"/>
      <c r="Y270" s="179"/>
      <c r="Z270" s="173"/>
      <c r="AA270" s="173"/>
      <c r="AB270" s="173"/>
      <c r="AC270" s="173"/>
      <c r="AD270" s="173"/>
      <c r="AE270" s="173"/>
      <c r="AF270" s="173"/>
      <c r="AG270" s="173"/>
      <c r="AH270" s="173"/>
      <c r="AI270" s="173"/>
      <c r="AJ270" s="173"/>
    </row>
    <row r="271" spans="8:36" x14ac:dyDescent="0.2">
      <c r="L271" s="173"/>
      <c r="M271" s="173"/>
      <c r="N271" s="173"/>
      <c r="O271" s="173"/>
      <c r="Q271" s="173"/>
      <c r="R271" s="173"/>
      <c r="S271" s="173"/>
      <c r="T271" s="173"/>
      <c r="U271" s="173"/>
      <c r="V271" s="173"/>
      <c r="W271" s="173"/>
      <c r="X271" s="173"/>
      <c r="Y271" s="179"/>
      <c r="Z271" s="173"/>
      <c r="AA271" s="173"/>
      <c r="AB271" s="173"/>
      <c r="AC271" s="173"/>
      <c r="AD271" s="173"/>
      <c r="AE271" s="173"/>
      <c r="AF271" s="173"/>
      <c r="AG271" s="173"/>
      <c r="AH271" s="173"/>
      <c r="AI271" s="173"/>
      <c r="AJ271" s="173"/>
    </row>
    <row r="272" spans="8:36" x14ac:dyDescent="0.2">
      <c r="L272" s="173"/>
      <c r="M272" s="173"/>
      <c r="N272" s="173"/>
      <c r="O272" s="173"/>
      <c r="Q272" s="173"/>
      <c r="R272" s="173"/>
      <c r="S272" s="173"/>
      <c r="T272" s="173"/>
      <c r="U272" s="173"/>
      <c r="V272" s="173"/>
      <c r="W272" s="173"/>
      <c r="X272" s="173"/>
      <c r="Y272" s="179"/>
      <c r="Z272" s="173"/>
      <c r="AA272" s="173"/>
      <c r="AB272" s="173"/>
      <c r="AC272" s="173"/>
      <c r="AD272" s="173"/>
      <c r="AE272" s="173"/>
      <c r="AF272" s="173"/>
      <c r="AG272" s="173"/>
      <c r="AH272" s="173"/>
      <c r="AI272" s="173"/>
      <c r="AJ272" s="173"/>
    </row>
    <row r="273" spans="12:36" x14ac:dyDescent="0.2">
      <c r="L273" s="173"/>
      <c r="M273" s="173"/>
      <c r="N273" s="173"/>
      <c r="O273" s="173"/>
      <c r="Q273" s="173"/>
      <c r="R273" s="173"/>
      <c r="S273" s="173"/>
      <c r="T273" s="173"/>
      <c r="U273" s="173"/>
      <c r="V273" s="173"/>
      <c r="W273" s="173"/>
      <c r="X273" s="173"/>
      <c r="Y273" s="179"/>
      <c r="Z273" s="173"/>
      <c r="AA273" s="173"/>
      <c r="AB273" s="173"/>
      <c r="AC273" s="173"/>
      <c r="AD273" s="173"/>
      <c r="AE273" s="173"/>
      <c r="AF273" s="173"/>
      <c r="AG273" s="173"/>
      <c r="AH273" s="173"/>
      <c r="AI273" s="173"/>
      <c r="AJ273" s="173"/>
    </row>
    <row r="274" spans="12:36" x14ac:dyDescent="0.2">
      <c r="L274" s="173"/>
      <c r="M274" s="173"/>
      <c r="N274" s="173"/>
      <c r="O274" s="173"/>
      <c r="Q274" s="173"/>
      <c r="R274" s="173"/>
      <c r="S274" s="173"/>
      <c r="T274" s="173"/>
      <c r="U274" s="173"/>
      <c r="V274" s="173"/>
      <c r="W274" s="173"/>
      <c r="X274" s="173"/>
      <c r="Y274" s="179"/>
      <c r="Z274" s="173"/>
      <c r="AA274" s="173"/>
      <c r="AB274" s="173"/>
      <c r="AC274" s="173"/>
      <c r="AD274" s="173"/>
      <c r="AE274" s="173"/>
      <c r="AF274" s="173"/>
      <c r="AG274" s="173"/>
      <c r="AH274" s="173"/>
      <c r="AI274" s="173"/>
      <c r="AJ274" s="173"/>
    </row>
    <row r="275" spans="12:36" x14ac:dyDescent="0.2">
      <c r="L275" s="173"/>
      <c r="M275" s="173"/>
      <c r="N275" s="173"/>
      <c r="O275" s="173"/>
      <c r="Q275" s="173"/>
      <c r="R275" s="173"/>
      <c r="S275" s="173"/>
      <c r="T275" s="173"/>
      <c r="U275" s="173"/>
      <c r="V275" s="173"/>
      <c r="W275" s="173"/>
      <c r="X275" s="173"/>
      <c r="Y275" s="179"/>
      <c r="Z275" s="173"/>
      <c r="AA275" s="173"/>
      <c r="AB275" s="173"/>
      <c r="AC275" s="173"/>
      <c r="AD275" s="173"/>
      <c r="AE275" s="173"/>
      <c r="AF275" s="173"/>
      <c r="AG275" s="173"/>
      <c r="AH275" s="173"/>
      <c r="AI275" s="173"/>
      <c r="AJ275" s="173"/>
    </row>
    <row r="276" spans="12:36" x14ac:dyDescent="0.2">
      <c r="L276" s="173"/>
      <c r="M276" s="173"/>
      <c r="N276" s="173"/>
      <c r="O276" s="173"/>
      <c r="Q276" s="173"/>
      <c r="R276" s="173"/>
      <c r="S276" s="173"/>
      <c r="T276" s="173"/>
      <c r="U276" s="173"/>
      <c r="V276" s="173"/>
      <c r="W276" s="173"/>
      <c r="X276" s="173"/>
      <c r="Y276" s="179"/>
      <c r="Z276" s="173"/>
      <c r="AA276" s="173"/>
      <c r="AB276" s="173"/>
      <c r="AC276" s="173"/>
      <c r="AD276" s="173"/>
      <c r="AE276" s="173"/>
      <c r="AF276" s="173"/>
      <c r="AG276" s="173"/>
      <c r="AH276" s="173"/>
      <c r="AI276" s="173"/>
      <c r="AJ276" s="173"/>
    </row>
    <row r="277" spans="12:36" x14ac:dyDescent="0.2">
      <c r="L277" s="173"/>
      <c r="M277" s="173"/>
      <c r="N277" s="173"/>
      <c r="O277" s="173"/>
      <c r="Q277" s="173"/>
      <c r="R277" s="173"/>
      <c r="S277" s="173"/>
      <c r="T277" s="173"/>
      <c r="U277" s="173"/>
      <c r="V277" s="173"/>
      <c r="W277" s="173"/>
      <c r="X277" s="173"/>
      <c r="Y277" s="179"/>
      <c r="Z277" s="173"/>
      <c r="AA277" s="173"/>
      <c r="AB277" s="173"/>
      <c r="AC277" s="173"/>
      <c r="AD277" s="173"/>
      <c r="AE277" s="173"/>
      <c r="AF277" s="173"/>
      <c r="AG277" s="173"/>
      <c r="AH277" s="173"/>
      <c r="AI277" s="173"/>
      <c r="AJ277" s="173"/>
    </row>
    <row r="278" spans="12:36" x14ac:dyDescent="0.2">
      <c r="L278" s="173"/>
      <c r="M278" s="173"/>
      <c r="N278" s="173"/>
      <c r="O278" s="173"/>
      <c r="Q278" s="173"/>
      <c r="R278" s="173"/>
      <c r="S278" s="173"/>
      <c r="T278" s="173"/>
      <c r="U278" s="173"/>
      <c r="V278" s="173"/>
      <c r="W278" s="173"/>
      <c r="X278" s="173"/>
      <c r="Y278" s="179"/>
      <c r="Z278" s="173"/>
      <c r="AA278" s="173"/>
      <c r="AB278" s="173"/>
      <c r="AC278" s="173"/>
      <c r="AD278" s="173"/>
      <c r="AE278" s="173"/>
      <c r="AF278" s="173"/>
      <c r="AG278" s="173"/>
      <c r="AH278" s="173"/>
      <c r="AI278" s="173"/>
      <c r="AJ278" s="173"/>
    </row>
    <row r="279" spans="12:36" x14ac:dyDescent="0.2">
      <c r="L279" s="173"/>
      <c r="M279" s="173"/>
      <c r="N279" s="173"/>
      <c r="O279" s="173"/>
      <c r="Q279" s="173"/>
      <c r="R279" s="173"/>
      <c r="S279" s="173"/>
      <c r="T279" s="173"/>
      <c r="U279" s="173"/>
      <c r="V279" s="173"/>
      <c r="W279" s="173"/>
      <c r="X279" s="173"/>
      <c r="Y279" s="179"/>
      <c r="Z279" s="173"/>
      <c r="AA279" s="173"/>
      <c r="AB279" s="173"/>
      <c r="AC279" s="173"/>
      <c r="AD279" s="173"/>
      <c r="AE279" s="173"/>
      <c r="AF279" s="173"/>
      <c r="AG279" s="173"/>
      <c r="AH279" s="173"/>
      <c r="AI279" s="173"/>
      <c r="AJ279" s="173"/>
    </row>
    <row r="280" spans="12:36" x14ac:dyDescent="0.2">
      <c r="L280" s="173"/>
      <c r="M280" s="173"/>
      <c r="N280" s="173"/>
      <c r="O280" s="173"/>
      <c r="Q280" s="173"/>
      <c r="R280" s="173"/>
      <c r="S280" s="173"/>
      <c r="T280" s="173"/>
      <c r="U280" s="173"/>
      <c r="V280" s="173"/>
      <c r="W280" s="173"/>
      <c r="X280" s="173"/>
      <c r="Y280" s="179"/>
      <c r="Z280" s="173"/>
      <c r="AA280" s="173"/>
      <c r="AB280" s="173"/>
      <c r="AC280" s="173"/>
      <c r="AD280" s="173"/>
      <c r="AE280" s="173"/>
      <c r="AF280" s="173"/>
      <c r="AG280" s="173"/>
      <c r="AH280" s="173"/>
      <c r="AI280" s="173"/>
      <c r="AJ280" s="173"/>
    </row>
    <row r="281" spans="12:36" x14ac:dyDescent="0.2">
      <c r="L281" s="173"/>
      <c r="M281" s="173"/>
      <c r="N281" s="173"/>
      <c r="O281" s="173"/>
      <c r="Q281" s="173"/>
      <c r="R281" s="173"/>
      <c r="S281" s="173"/>
      <c r="T281" s="173"/>
      <c r="U281" s="173"/>
      <c r="V281" s="173"/>
      <c r="W281" s="173"/>
      <c r="X281" s="173"/>
      <c r="Y281" s="179"/>
      <c r="Z281" s="173"/>
      <c r="AA281" s="173"/>
      <c r="AB281" s="173"/>
      <c r="AC281" s="173"/>
      <c r="AD281" s="173"/>
      <c r="AE281" s="173"/>
      <c r="AF281" s="173"/>
      <c r="AG281" s="173"/>
      <c r="AH281" s="173"/>
      <c r="AI281" s="173"/>
      <c r="AJ281" s="173"/>
    </row>
    <row r="282" spans="12:36" x14ac:dyDescent="0.2">
      <c r="L282" s="173"/>
      <c r="M282" s="173"/>
      <c r="N282" s="173"/>
      <c r="O282" s="173"/>
      <c r="Q282" s="173"/>
      <c r="R282" s="173"/>
      <c r="S282" s="173"/>
      <c r="T282" s="173"/>
      <c r="U282" s="173"/>
      <c r="V282" s="173"/>
      <c r="W282" s="173"/>
      <c r="X282" s="173"/>
      <c r="Y282" s="179"/>
      <c r="Z282" s="173"/>
      <c r="AA282" s="173"/>
      <c r="AB282" s="173"/>
      <c r="AC282" s="173"/>
      <c r="AD282" s="173"/>
      <c r="AE282" s="173"/>
      <c r="AF282" s="173"/>
      <c r="AG282" s="173"/>
      <c r="AH282" s="173"/>
      <c r="AI282" s="173"/>
      <c r="AJ282" s="173"/>
    </row>
    <row r="283" spans="12:36" x14ac:dyDescent="0.2">
      <c r="L283" s="173"/>
      <c r="M283" s="173"/>
      <c r="N283" s="173"/>
      <c r="O283" s="173"/>
      <c r="Q283" s="173"/>
      <c r="R283" s="173"/>
      <c r="S283" s="173"/>
      <c r="T283" s="173"/>
      <c r="U283" s="173"/>
      <c r="V283" s="173"/>
      <c r="W283" s="173"/>
      <c r="X283" s="173"/>
      <c r="Y283" s="179"/>
      <c r="Z283" s="173"/>
      <c r="AA283" s="173"/>
      <c r="AB283" s="173"/>
      <c r="AC283" s="173"/>
      <c r="AD283" s="173"/>
      <c r="AE283" s="173"/>
      <c r="AF283" s="173"/>
      <c r="AG283" s="173"/>
      <c r="AH283" s="173"/>
      <c r="AI283" s="173"/>
      <c r="AJ283" s="173"/>
    </row>
    <row r="284" spans="12:36" x14ac:dyDescent="0.2">
      <c r="L284" s="173"/>
      <c r="M284" s="173"/>
      <c r="N284" s="173"/>
      <c r="O284" s="173"/>
      <c r="Q284" s="173"/>
      <c r="R284" s="173"/>
      <c r="S284" s="173"/>
      <c r="T284" s="173"/>
      <c r="U284" s="173"/>
      <c r="V284" s="173"/>
      <c r="W284" s="173"/>
      <c r="X284" s="173"/>
      <c r="Y284" s="179"/>
      <c r="Z284" s="173"/>
      <c r="AA284" s="173"/>
      <c r="AB284" s="173"/>
      <c r="AC284" s="173"/>
      <c r="AD284" s="173"/>
      <c r="AE284" s="173"/>
      <c r="AF284" s="173"/>
      <c r="AG284" s="173"/>
      <c r="AH284" s="173"/>
      <c r="AI284" s="173"/>
      <c r="AJ284" s="173"/>
    </row>
    <row r="285" spans="12:36" x14ac:dyDescent="0.2">
      <c r="L285" s="173"/>
      <c r="M285" s="173"/>
      <c r="N285" s="173"/>
      <c r="O285" s="173"/>
      <c r="Q285" s="173"/>
      <c r="R285" s="173"/>
      <c r="S285" s="173"/>
      <c r="T285" s="173"/>
      <c r="U285" s="173"/>
      <c r="V285" s="173"/>
      <c r="W285" s="173"/>
      <c r="X285" s="173"/>
      <c r="Y285" s="179"/>
      <c r="Z285" s="173"/>
      <c r="AA285" s="173"/>
      <c r="AB285" s="173"/>
      <c r="AC285" s="173"/>
      <c r="AD285" s="173"/>
      <c r="AE285" s="173"/>
      <c r="AF285" s="173"/>
      <c r="AG285" s="173"/>
      <c r="AH285" s="173"/>
      <c r="AI285" s="173"/>
      <c r="AJ285" s="173"/>
    </row>
    <row r="286" spans="12:36" x14ac:dyDescent="0.2">
      <c r="L286" s="173"/>
      <c r="M286" s="173"/>
      <c r="N286" s="173"/>
      <c r="O286" s="173"/>
      <c r="Q286" s="173"/>
      <c r="R286" s="173"/>
      <c r="S286" s="173"/>
      <c r="T286" s="173"/>
      <c r="U286" s="173"/>
      <c r="V286" s="173"/>
      <c r="W286" s="173"/>
      <c r="X286" s="173"/>
      <c r="Y286" s="179"/>
      <c r="Z286" s="173"/>
      <c r="AA286" s="173"/>
      <c r="AB286" s="173"/>
      <c r="AC286" s="173"/>
      <c r="AD286" s="173"/>
      <c r="AE286" s="173"/>
      <c r="AF286" s="173"/>
      <c r="AG286" s="173"/>
      <c r="AH286" s="173"/>
      <c r="AI286" s="173"/>
      <c r="AJ286" s="173"/>
    </row>
    <row r="287" spans="12:36" x14ac:dyDescent="0.2">
      <c r="L287" s="173"/>
      <c r="M287" s="173"/>
      <c r="N287" s="173"/>
      <c r="O287" s="173"/>
      <c r="Q287" s="173"/>
      <c r="R287" s="173"/>
      <c r="S287" s="173"/>
      <c r="T287" s="173"/>
      <c r="U287" s="173"/>
      <c r="V287" s="173"/>
      <c r="W287" s="173"/>
      <c r="X287" s="173"/>
      <c r="Y287" s="179"/>
      <c r="Z287" s="173"/>
      <c r="AA287" s="173"/>
      <c r="AB287" s="173"/>
      <c r="AC287" s="173"/>
      <c r="AD287" s="173"/>
      <c r="AE287" s="173"/>
      <c r="AF287" s="173"/>
      <c r="AG287" s="173"/>
      <c r="AH287" s="173"/>
      <c r="AI287" s="173"/>
      <c r="AJ287" s="173"/>
    </row>
    <row r="288" spans="12:36" x14ac:dyDescent="0.2">
      <c r="L288" s="173"/>
      <c r="M288" s="173"/>
      <c r="N288" s="173"/>
      <c r="O288" s="173"/>
      <c r="Q288" s="173"/>
      <c r="R288" s="173"/>
      <c r="S288" s="173"/>
      <c r="T288" s="173"/>
      <c r="U288" s="173"/>
      <c r="V288" s="173"/>
      <c r="W288" s="173"/>
      <c r="X288" s="173"/>
      <c r="Y288" s="179"/>
      <c r="Z288" s="173"/>
      <c r="AA288" s="173"/>
      <c r="AB288" s="173"/>
      <c r="AC288" s="173"/>
      <c r="AD288" s="173"/>
      <c r="AE288" s="173"/>
      <c r="AF288" s="173"/>
      <c r="AG288" s="173"/>
      <c r="AH288" s="173"/>
      <c r="AI288" s="173"/>
      <c r="AJ288" s="173"/>
    </row>
    <row r="289" spans="2:36" x14ac:dyDescent="0.2">
      <c r="L289" s="173"/>
      <c r="M289" s="173"/>
      <c r="N289" s="173"/>
      <c r="O289" s="173"/>
      <c r="Q289" s="173"/>
      <c r="R289" s="173"/>
      <c r="S289" s="173"/>
      <c r="T289" s="173"/>
      <c r="U289" s="173"/>
      <c r="V289" s="173"/>
      <c r="W289" s="173"/>
      <c r="X289" s="173"/>
      <c r="Y289" s="179"/>
      <c r="Z289" s="173"/>
      <c r="AA289" s="173"/>
      <c r="AB289" s="173"/>
      <c r="AC289" s="173"/>
      <c r="AD289" s="173"/>
      <c r="AE289" s="173"/>
      <c r="AF289" s="173"/>
      <c r="AG289" s="173"/>
      <c r="AH289" s="173"/>
      <c r="AI289" s="173"/>
      <c r="AJ289" s="173"/>
    </row>
    <row r="290" spans="2:36" x14ac:dyDescent="0.2">
      <c r="L290" s="173"/>
      <c r="M290" s="173"/>
      <c r="N290" s="173"/>
      <c r="O290" s="173"/>
      <c r="Q290" s="173"/>
      <c r="R290" s="173"/>
      <c r="S290" s="173"/>
      <c r="T290" s="173"/>
      <c r="U290" s="173"/>
      <c r="V290" s="173"/>
      <c r="W290" s="173"/>
      <c r="X290" s="173"/>
      <c r="Y290" s="179"/>
      <c r="Z290" s="173"/>
      <c r="AA290" s="173"/>
      <c r="AB290" s="173"/>
      <c r="AC290" s="173"/>
      <c r="AD290" s="173"/>
      <c r="AE290" s="173"/>
      <c r="AF290" s="173"/>
      <c r="AG290" s="173"/>
      <c r="AH290" s="173"/>
      <c r="AI290" s="173"/>
      <c r="AJ290" s="173"/>
    </row>
    <row r="291" spans="2:36" x14ac:dyDescent="0.2">
      <c r="L291" s="173"/>
      <c r="M291" s="173"/>
      <c r="N291" s="173"/>
      <c r="O291" s="173"/>
      <c r="Q291" s="173"/>
      <c r="R291" s="173"/>
      <c r="S291" s="173"/>
      <c r="T291" s="173"/>
      <c r="U291" s="173"/>
      <c r="V291" s="173"/>
      <c r="W291" s="173"/>
      <c r="X291" s="173"/>
      <c r="Y291" s="179"/>
      <c r="Z291" s="173"/>
      <c r="AA291" s="173"/>
      <c r="AB291" s="173"/>
      <c r="AC291" s="173"/>
      <c r="AD291" s="173"/>
      <c r="AE291" s="173"/>
      <c r="AF291" s="173"/>
      <c r="AG291" s="173"/>
      <c r="AH291" s="173"/>
      <c r="AI291" s="173"/>
      <c r="AJ291" s="173"/>
    </row>
    <row r="292" spans="2:36" x14ac:dyDescent="0.2">
      <c r="L292" s="173"/>
      <c r="M292" s="173"/>
      <c r="N292" s="173"/>
      <c r="O292" s="173"/>
      <c r="Q292" s="173"/>
      <c r="R292" s="173"/>
      <c r="S292" s="173"/>
      <c r="T292" s="173"/>
      <c r="U292" s="173"/>
      <c r="V292" s="173"/>
      <c r="W292" s="173"/>
      <c r="X292" s="173"/>
      <c r="Y292" s="179"/>
      <c r="Z292" s="173"/>
      <c r="AA292" s="173"/>
      <c r="AB292" s="173"/>
      <c r="AC292" s="173"/>
      <c r="AD292" s="173"/>
      <c r="AE292" s="173"/>
      <c r="AF292" s="173"/>
      <c r="AG292" s="173"/>
      <c r="AH292" s="173"/>
      <c r="AI292" s="173"/>
      <c r="AJ292" s="173"/>
    </row>
    <row r="293" spans="2:36" x14ac:dyDescent="0.2">
      <c r="D293" s="170" t="s">
        <v>6</v>
      </c>
      <c r="L293" s="173"/>
      <c r="M293" s="173"/>
      <c r="N293" s="173"/>
      <c r="O293" s="173"/>
      <c r="Q293" s="173"/>
      <c r="R293" s="173"/>
      <c r="S293" s="173"/>
      <c r="T293" s="173"/>
      <c r="U293" s="173"/>
      <c r="V293" s="173"/>
      <c r="W293" s="173"/>
      <c r="X293" s="173"/>
      <c r="Y293" s="179"/>
      <c r="Z293" s="173"/>
      <c r="AA293" s="173"/>
      <c r="AB293" s="173"/>
      <c r="AC293" s="173"/>
      <c r="AD293" s="173"/>
      <c r="AE293" s="173"/>
      <c r="AF293" s="173"/>
      <c r="AG293" s="173"/>
      <c r="AH293" s="173"/>
      <c r="AI293" s="173"/>
      <c r="AJ293" s="173"/>
    </row>
    <row r="294" spans="2:36" x14ac:dyDescent="0.2">
      <c r="L294" s="173"/>
      <c r="M294" s="173"/>
      <c r="N294" s="173"/>
      <c r="O294" s="173"/>
      <c r="Q294" s="173"/>
      <c r="R294" s="173"/>
      <c r="S294" s="173"/>
      <c r="T294" s="173"/>
      <c r="U294" s="173"/>
      <c r="V294" s="173"/>
      <c r="W294" s="173"/>
      <c r="X294" s="173"/>
      <c r="Y294" s="179"/>
      <c r="Z294" s="173"/>
      <c r="AA294" s="173"/>
      <c r="AB294" s="173"/>
      <c r="AC294" s="173"/>
      <c r="AD294" s="173"/>
      <c r="AE294" s="173"/>
      <c r="AF294" s="173"/>
      <c r="AG294" s="173"/>
      <c r="AH294" s="173"/>
      <c r="AI294" s="173"/>
      <c r="AJ294" s="173"/>
    </row>
    <row r="295" spans="2:36" x14ac:dyDescent="0.2">
      <c r="L295" s="173"/>
      <c r="M295" s="173"/>
      <c r="N295" s="173"/>
      <c r="O295" s="173"/>
      <c r="Q295" s="173"/>
      <c r="R295" s="173"/>
      <c r="S295" s="173"/>
      <c r="T295" s="173"/>
      <c r="U295" s="173"/>
      <c r="V295" s="173"/>
      <c r="W295" s="173"/>
      <c r="X295" s="173"/>
      <c r="Y295" s="179"/>
      <c r="Z295" s="173"/>
      <c r="AA295" s="173"/>
      <c r="AB295" s="173"/>
      <c r="AC295" s="173"/>
      <c r="AD295" s="173"/>
      <c r="AE295" s="173"/>
      <c r="AF295" s="173"/>
      <c r="AG295" s="173"/>
      <c r="AH295" s="173"/>
      <c r="AI295" s="173"/>
      <c r="AJ295" s="173"/>
    </row>
    <row r="296" spans="2:36" x14ac:dyDescent="0.2">
      <c r="L296" s="173"/>
      <c r="M296" s="173"/>
      <c r="N296" s="173"/>
      <c r="O296" s="173"/>
      <c r="Q296" s="173"/>
      <c r="R296" s="173"/>
      <c r="S296" s="173"/>
      <c r="T296" s="173"/>
      <c r="U296" s="173"/>
      <c r="V296" s="173"/>
      <c r="W296" s="173"/>
      <c r="X296" s="173"/>
      <c r="Y296" s="179"/>
      <c r="Z296" s="173"/>
      <c r="AA296" s="173"/>
      <c r="AB296" s="173"/>
      <c r="AC296" s="173"/>
      <c r="AD296" s="173"/>
      <c r="AE296" s="173"/>
      <c r="AF296" s="173"/>
      <c r="AG296" s="173"/>
      <c r="AH296" s="173"/>
      <c r="AI296" s="173"/>
      <c r="AJ296" s="173"/>
    </row>
    <row r="297" spans="2:36" x14ac:dyDescent="0.2">
      <c r="D297" s="170" t="s">
        <v>6</v>
      </c>
      <c r="L297" s="173"/>
      <c r="M297" s="173"/>
      <c r="N297" s="173"/>
      <c r="O297" s="173"/>
      <c r="Q297" s="173"/>
      <c r="R297" s="173"/>
      <c r="S297" s="173"/>
      <c r="T297" s="173"/>
      <c r="U297" s="173"/>
      <c r="V297" s="173"/>
      <c r="W297" s="173"/>
      <c r="X297" s="173"/>
      <c r="Y297" s="179"/>
      <c r="Z297" s="173"/>
      <c r="AA297" s="173"/>
      <c r="AB297" s="173"/>
      <c r="AC297" s="173"/>
      <c r="AD297" s="173"/>
      <c r="AE297" s="173"/>
      <c r="AF297" s="173"/>
      <c r="AG297" s="173"/>
      <c r="AH297" s="173"/>
      <c r="AI297" s="173"/>
      <c r="AJ297" s="173"/>
    </row>
    <row r="298" spans="2:36" x14ac:dyDescent="0.2">
      <c r="L298" s="173"/>
      <c r="M298" s="173"/>
      <c r="N298" s="173"/>
      <c r="O298" s="173"/>
      <c r="Q298" s="173"/>
      <c r="R298" s="173"/>
      <c r="S298" s="173"/>
      <c r="T298" s="173"/>
      <c r="U298" s="173"/>
      <c r="V298" s="173"/>
      <c r="W298" s="173"/>
      <c r="X298" s="173"/>
      <c r="Y298" s="179"/>
      <c r="Z298" s="173"/>
      <c r="AA298" s="173"/>
      <c r="AB298" s="173"/>
      <c r="AC298" s="173"/>
      <c r="AD298" s="173"/>
      <c r="AE298" s="173"/>
      <c r="AF298" s="173"/>
      <c r="AG298" s="173"/>
      <c r="AH298" s="173"/>
      <c r="AI298" s="173"/>
      <c r="AJ298" s="173"/>
    </row>
    <row r="299" spans="2:36" x14ac:dyDescent="0.2">
      <c r="L299" s="173"/>
      <c r="M299" s="173"/>
      <c r="N299" s="173"/>
      <c r="O299" s="173"/>
      <c r="Q299" s="173"/>
      <c r="R299" s="173"/>
      <c r="S299" s="173"/>
      <c r="T299" s="173"/>
      <c r="U299" s="173"/>
      <c r="V299" s="173"/>
      <c r="W299" s="173"/>
      <c r="X299" s="173"/>
      <c r="Y299" s="179"/>
      <c r="Z299" s="173"/>
      <c r="AA299" s="173"/>
      <c r="AB299" s="173"/>
      <c r="AC299" s="173"/>
      <c r="AD299" s="173"/>
      <c r="AE299" s="173"/>
      <c r="AF299" s="173"/>
      <c r="AG299" s="173"/>
      <c r="AH299" s="173"/>
      <c r="AI299" s="173"/>
      <c r="AJ299" s="173"/>
    </row>
    <row r="300" spans="2:36" x14ac:dyDescent="0.2">
      <c r="B300" s="167" t="s">
        <v>0</v>
      </c>
      <c r="L300" s="173"/>
      <c r="M300" s="173"/>
      <c r="N300" s="173"/>
      <c r="O300" s="173"/>
      <c r="Q300" s="173"/>
      <c r="R300" s="173"/>
      <c r="S300" s="173"/>
      <c r="T300" s="173"/>
      <c r="U300" s="173"/>
      <c r="V300" s="173"/>
      <c r="W300" s="173"/>
      <c r="X300" s="173"/>
      <c r="Y300" s="179"/>
      <c r="Z300" s="173"/>
      <c r="AA300" s="173"/>
      <c r="AB300" s="173"/>
      <c r="AC300" s="173"/>
      <c r="AD300" s="173"/>
      <c r="AE300" s="173"/>
      <c r="AF300" s="173"/>
      <c r="AG300" s="173"/>
      <c r="AH300" s="173"/>
      <c r="AI300" s="173"/>
      <c r="AJ300" s="173"/>
    </row>
    <row r="301" spans="2:36" x14ac:dyDescent="0.2">
      <c r="L301" s="173"/>
      <c r="M301" s="173"/>
      <c r="N301" s="173"/>
      <c r="O301" s="173"/>
      <c r="Q301" s="173"/>
      <c r="R301" s="173"/>
      <c r="S301" s="173"/>
      <c r="T301" s="173"/>
      <c r="U301" s="173"/>
      <c r="V301" s="173"/>
      <c r="W301" s="173"/>
      <c r="X301" s="173"/>
      <c r="Y301" s="179"/>
      <c r="Z301" s="173"/>
      <c r="AA301" s="173"/>
      <c r="AB301" s="173"/>
      <c r="AC301" s="173"/>
      <c r="AD301" s="173"/>
      <c r="AE301" s="173"/>
      <c r="AF301" s="173"/>
      <c r="AG301" s="173"/>
      <c r="AH301" s="173"/>
      <c r="AI301" s="173"/>
      <c r="AJ301" s="173"/>
    </row>
    <row r="302" spans="2:36" x14ac:dyDescent="0.2">
      <c r="L302" s="173"/>
      <c r="M302" s="173"/>
      <c r="N302" s="173"/>
      <c r="O302" s="173"/>
      <c r="Q302" s="173"/>
      <c r="R302" s="173"/>
      <c r="S302" s="173"/>
      <c r="T302" s="173"/>
      <c r="U302" s="173"/>
      <c r="V302" s="173"/>
      <c r="W302" s="173"/>
      <c r="X302" s="173"/>
      <c r="Y302" s="179"/>
      <c r="Z302" s="173"/>
      <c r="AA302" s="173"/>
      <c r="AB302" s="173"/>
      <c r="AC302" s="173"/>
      <c r="AD302" s="173"/>
      <c r="AE302" s="173"/>
      <c r="AF302" s="173"/>
      <c r="AG302" s="173"/>
      <c r="AH302" s="173"/>
      <c r="AI302" s="173"/>
      <c r="AJ302" s="173"/>
    </row>
    <row r="303" spans="2:36" x14ac:dyDescent="0.2">
      <c r="L303" s="173"/>
      <c r="M303" s="173"/>
      <c r="N303" s="173"/>
      <c r="O303" s="173"/>
      <c r="Q303" s="173"/>
      <c r="R303" s="173"/>
      <c r="S303" s="173"/>
      <c r="T303" s="173"/>
      <c r="U303" s="173"/>
      <c r="V303" s="173"/>
      <c r="W303" s="173"/>
      <c r="X303" s="173"/>
      <c r="Y303" s="179"/>
      <c r="Z303" s="173"/>
      <c r="AA303" s="173"/>
      <c r="AB303" s="173"/>
      <c r="AC303" s="173"/>
      <c r="AD303" s="173"/>
      <c r="AE303" s="173"/>
      <c r="AF303" s="173"/>
      <c r="AG303" s="173"/>
      <c r="AH303" s="173"/>
      <c r="AI303" s="173"/>
      <c r="AJ303" s="173"/>
    </row>
    <row r="304" spans="2:36" x14ac:dyDescent="0.2">
      <c r="L304" s="173"/>
      <c r="M304" s="173"/>
      <c r="N304" s="173"/>
      <c r="O304" s="173"/>
      <c r="Q304" s="173"/>
      <c r="R304" s="173"/>
      <c r="S304" s="173"/>
      <c r="T304" s="173"/>
      <c r="U304" s="173"/>
      <c r="V304" s="173"/>
      <c r="W304" s="173"/>
      <c r="X304" s="173"/>
      <c r="Y304" s="179"/>
      <c r="Z304" s="173"/>
      <c r="AA304" s="173"/>
      <c r="AB304" s="173"/>
      <c r="AC304" s="173"/>
      <c r="AD304" s="173"/>
      <c r="AE304" s="173"/>
      <c r="AF304" s="173"/>
      <c r="AG304" s="173"/>
      <c r="AH304" s="173"/>
      <c r="AI304" s="173"/>
      <c r="AJ304" s="173"/>
    </row>
    <row r="305" spans="12:36" x14ac:dyDescent="0.2">
      <c r="L305" s="173"/>
      <c r="M305" s="173"/>
      <c r="N305" s="173"/>
      <c r="O305" s="173"/>
      <c r="Q305" s="173"/>
      <c r="R305" s="173"/>
      <c r="S305" s="173"/>
      <c r="T305" s="173"/>
      <c r="U305" s="173"/>
      <c r="V305" s="173"/>
      <c r="W305" s="173"/>
      <c r="X305" s="173"/>
      <c r="Y305" s="179"/>
      <c r="Z305" s="173"/>
      <c r="AA305" s="173"/>
      <c r="AB305" s="173"/>
      <c r="AC305" s="173"/>
      <c r="AD305" s="173"/>
      <c r="AE305" s="173"/>
      <c r="AF305" s="173"/>
      <c r="AG305" s="173"/>
      <c r="AH305" s="173"/>
      <c r="AI305" s="173"/>
      <c r="AJ305" s="173"/>
    </row>
    <row r="306" spans="12:36" x14ac:dyDescent="0.2">
      <c r="L306" s="173"/>
      <c r="M306" s="173"/>
      <c r="N306" s="173"/>
      <c r="O306" s="173"/>
      <c r="Q306" s="173"/>
      <c r="R306" s="173"/>
      <c r="S306" s="173"/>
      <c r="T306" s="173"/>
      <c r="U306" s="173"/>
      <c r="V306" s="173"/>
      <c r="W306" s="173"/>
      <c r="X306" s="173"/>
      <c r="Y306" s="179"/>
      <c r="Z306" s="173"/>
      <c r="AA306" s="173"/>
      <c r="AB306" s="173"/>
      <c r="AC306" s="173"/>
      <c r="AD306" s="173"/>
      <c r="AE306" s="173"/>
      <c r="AF306" s="173"/>
      <c r="AG306" s="173"/>
      <c r="AH306" s="173"/>
      <c r="AI306" s="173"/>
      <c r="AJ306" s="173"/>
    </row>
    <row r="307" spans="12:36" x14ac:dyDescent="0.2">
      <c r="L307" s="173"/>
      <c r="M307" s="173"/>
      <c r="N307" s="173"/>
      <c r="O307" s="173"/>
      <c r="Q307" s="173"/>
      <c r="R307" s="173"/>
      <c r="S307" s="173"/>
      <c r="T307" s="173"/>
      <c r="U307" s="173"/>
      <c r="V307" s="173"/>
      <c r="W307" s="173"/>
      <c r="X307" s="173"/>
      <c r="Y307" s="179"/>
      <c r="Z307" s="173"/>
      <c r="AA307" s="173"/>
      <c r="AB307" s="173"/>
      <c r="AC307" s="173"/>
      <c r="AD307" s="173"/>
      <c r="AE307" s="173"/>
      <c r="AF307" s="173"/>
      <c r="AG307" s="173"/>
      <c r="AH307" s="173"/>
      <c r="AI307" s="173"/>
      <c r="AJ307" s="173"/>
    </row>
    <row r="308" spans="12:36" x14ac:dyDescent="0.2">
      <c r="L308" s="173"/>
      <c r="M308" s="173"/>
      <c r="N308" s="173"/>
      <c r="O308" s="173"/>
      <c r="Q308" s="173"/>
      <c r="R308" s="173"/>
      <c r="S308" s="173"/>
      <c r="T308" s="173"/>
      <c r="U308" s="173"/>
      <c r="V308" s="173"/>
      <c r="W308" s="173"/>
      <c r="X308" s="173"/>
      <c r="Y308" s="179"/>
      <c r="Z308" s="173"/>
      <c r="AA308" s="173"/>
      <c r="AB308" s="173"/>
      <c r="AC308" s="173"/>
      <c r="AD308" s="173"/>
      <c r="AE308" s="173"/>
      <c r="AF308" s="173"/>
      <c r="AG308" s="173"/>
      <c r="AH308" s="173"/>
      <c r="AI308" s="173"/>
      <c r="AJ308" s="173"/>
    </row>
    <row r="309" spans="12:36" x14ac:dyDescent="0.2">
      <c r="L309" s="173"/>
      <c r="M309" s="173"/>
      <c r="N309" s="173"/>
      <c r="O309" s="173"/>
      <c r="Q309" s="173"/>
      <c r="R309" s="173"/>
      <c r="S309" s="173"/>
      <c r="T309" s="173"/>
      <c r="U309" s="173"/>
      <c r="V309" s="173"/>
      <c r="W309" s="173"/>
      <c r="X309" s="173"/>
      <c r="Y309" s="179"/>
      <c r="Z309" s="173"/>
      <c r="AA309" s="173"/>
      <c r="AB309" s="173"/>
      <c r="AC309" s="173"/>
      <c r="AD309" s="173"/>
      <c r="AE309" s="173"/>
      <c r="AF309" s="173"/>
      <c r="AG309" s="173"/>
      <c r="AH309" s="173"/>
      <c r="AI309" s="173"/>
      <c r="AJ309" s="173"/>
    </row>
    <row r="310" spans="12:36" x14ac:dyDescent="0.2">
      <c r="L310" s="173"/>
      <c r="M310" s="173"/>
      <c r="N310" s="173"/>
      <c r="O310" s="173"/>
      <c r="Q310" s="173"/>
      <c r="R310" s="173"/>
      <c r="S310" s="173"/>
      <c r="T310" s="173"/>
      <c r="U310" s="173"/>
      <c r="V310" s="173"/>
      <c r="W310" s="173"/>
      <c r="X310" s="173"/>
      <c r="Y310" s="179"/>
      <c r="Z310" s="173"/>
      <c r="AA310" s="173"/>
      <c r="AB310" s="173"/>
      <c r="AC310" s="173"/>
      <c r="AD310" s="173"/>
      <c r="AE310" s="173"/>
      <c r="AF310" s="173"/>
      <c r="AG310" s="173"/>
      <c r="AH310" s="173"/>
      <c r="AI310" s="173"/>
      <c r="AJ310" s="173"/>
    </row>
    <row r="311" spans="12:36" x14ac:dyDescent="0.2">
      <c r="L311" s="173"/>
      <c r="M311" s="173"/>
      <c r="N311" s="173"/>
      <c r="O311" s="173"/>
      <c r="Q311" s="173"/>
      <c r="R311" s="173"/>
      <c r="S311" s="173"/>
      <c r="T311" s="173"/>
      <c r="U311" s="173"/>
      <c r="V311" s="173"/>
      <c r="W311" s="173"/>
      <c r="X311" s="173"/>
      <c r="Y311" s="179"/>
      <c r="Z311" s="173"/>
      <c r="AA311" s="173"/>
      <c r="AB311" s="173"/>
      <c r="AC311" s="173"/>
      <c r="AD311" s="173"/>
      <c r="AE311" s="173"/>
      <c r="AF311" s="173"/>
      <c r="AG311" s="173"/>
      <c r="AH311" s="173"/>
      <c r="AI311" s="173"/>
      <c r="AJ311" s="173"/>
    </row>
    <row r="312" spans="12:36" x14ac:dyDescent="0.2">
      <c r="L312" s="173"/>
      <c r="M312" s="173"/>
      <c r="N312" s="173"/>
      <c r="O312" s="173"/>
      <c r="Q312" s="173"/>
      <c r="R312" s="173"/>
      <c r="S312" s="173"/>
      <c r="T312" s="173"/>
      <c r="U312" s="173"/>
      <c r="V312" s="173"/>
      <c r="W312" s="173"/>
      <c r="X312" s="173"/>
      <c r="Y312" s="179"/>
      <c r="Z312" s="173"/>
      <c r="AA312" s="173"/>
      <c r="AB312" s="173"/>
      <c r="AC312" s="173"/>
      <c r="AD312" s="173"/>
      <c r="AE312" s="173"/>
      <c r="AF312" s="173"/>
      <c r="AG312" s="173"/>
      <c r="AH312" s="173"/>
      <c r="AI312" s="173"/>
      <c r="AJ312" s="173"/>
    </row>
    <row r="313" spans="12:36" x14ac:dyDescent="0.2">
      <c r="L313" s="173"/>
      <c r="M313" s="173"/>
      <c r="N313" s="173"/>
      <c r="O313" s="173"/>
      <c r="Q313" s="173"/>
      <c r="R313" s="173"/>
      <c r="S313" s="173"/>
      <c r="T313" s="173"/>
      <c r="U313" s="173"/>
      <c r="V313" s="173"/>
      <c r="W313" s="173"/>
      <c r="X313" s="173"/>
      <c r="Y313" s="179"/>
      <c r="Z313" s="173"/>
      <c r="AA313" s="173"/>
      <c r="AB313" s="173"/>
      <c r="AC313" s="173"/>
      <c r="AD313" s="173"/>
      <c r="AE313" s="173"/>
      <c r="AF313" s="173"/>
      <c r="AG313" s="173"/>
      <c r="AH313" s="173"/>
      <c r="AI313" s="173"/>
      <c r="AJ313" s="173"/>
    </row>
    <row r="314" spans="12:36" x14ac:dyDescent="0.2">
      <c r="L314" s="173"/>
      <c r="M314" s="173"/>
      <c r="N314" s="173"/>
      <c r="O314" s="173"/>
      <c r="Q314" s="173"/>
      <c r="R314" s="173"/>
      <c r="S314" s="173"/>
      <c r="T314" s="173"/>
      <c r="U314" s="173"/>
      <c r="V314" s="173"/>
      <c r="W314" s="173"/>
      <c r="X314" s="173"/>
      <c r="Y314" s="179"/>
      <c r="Z314" s="173"/>
      <c r="AA314" s="173"/>
      <c r="AB314" s="173"/>
      <c r="AC314" s="173"/>
      <c r="AD314" s="173"/>
      <c r="AE314" s="173"/>
      <c r="AF314" s="173"/>
      <c r="AG314" s="173"/>
      <c r="AH314" s="173"/>
      <c r="AI314" s="173"/>
      <c r="AJ314" s="173"/>
    </row>
    <row r="315" spans="12:36" x14ac:dyDescent="0.2">
      <c r="L315" s="173"/>
      <c r="M315" s="173"/>
      <c r="N315" s="173"/>
      <c r="O315" s="173"/>
      <c r="Q315" s="173"/>
      <c r="R315" s="173"/>
      <c r="S315" s="173"/>
      <c r="T315" s="173"/>
      <c r="U315" s="173"/>
      <c r="V315" s="173"/>
      <c r="W315" s="173"/>
      <c r="X315" s="173"/>
      <c r="Y315" s="179"/>
      <c r="Z315" s="173"/>
      <c r="AA315" s="173"/>
      <c r="AB315" s="173"/>
      <c r="AC315" s="173"/>
      <c r="AD315" s="173"/>
      <c r="AE315" s="173"/>
      <c r="AF315" s="173"/>
      <c r="AG315" s="173"/>
      <c r="AH315" s="173"/>
      <c r="AI315" s="173"/>
      <c r="AJ315" s="173"/>
    </row>
    <row r="316" spans="12:36" x14ac:dyDescent="0.2">
      <c r="L316" s="173"/>
      <c r="M316" s="173"/>
      <c r="N316" s="173"/>
      <c r="O316" s="173"/>
      <c r="Q316" s="173"/>
      <c r="R316" s="173"/>
      <c r="S316" s="173"/>
      <c r="T316" s="173"/>
      <c r="U316" s="173"/>
      <c r="V316" s="173"/>
      <c r="W316" s="173"/>
      <c r="X316" s="173"/>
      <c r="Y316" s="179"/>
      <c r="Z316" s="173"/>
      <c r="AA316" s="173"/>
      <c r="AB316" s="173"/>
      <c r="AC316" s="173"/>
      <c r="AD316" s="173"/>
      <c r="AE316" s="173"/>
      <c r="AF316" s="173"/>
      <c r="AG316" s="173"/>
      <c r="AH316" s="173"/>
      <c r="AI316" s="173"/>
      <c r="AJ316" s="173"/>
    </row>
    <row r="317" spans="12:36" x14ac:dyDescent="0.2">
      <c r="L317" s="173"/>
      <c r="M317" s="173"/>
      <c r="N317" s="173"/>
      <c r="O317" s="173"/>
      <c r="Q317" s="173"/>
      <c r="R317" s="173"/>
      <c r="S317" s="173"/>
      <c r="T317" s="173"/>
      <c r="U317" s="173"/>
      <c r="V317" s="173"/>
      <c r="W317" s="173"/>
      <c r="X317" s="173"/>
      <c r="Y317" s="179"/>
      <c r="Z317" s="173"/>
      <c r="AA317" s="173"/>
      <c r="AB317" s="173"/>
      <c r="AC317" s="173"/>
      <c r="AD317" s="173"/>
      <c r="AE317" s="173"/>
      <c r="AF317" s="173"/>
      <c r="AG317" s="173"/>
      <c r="AH317" s="173"/>
      <c r="AI317" s="173"/>
      <c r="AJ317" s="173"/>
    </row>
    <row r="318" spans="12:36" x14ac:dyDescent="0.2">
      <c r="L318" s="173"/>
      <c r="M318" s="173"/>
      <c r="N318" s="173"/>
      <c r="O318" s="173"/>
      <c r="Q318" s="173"/>
      <c r="R318" s="173"/>
      <c r="S318" s="173"/>
      <c r="T318" s="173"/>
      <c r="U318" s="173"/>
      <c r="V318" s="173"/>
      <c r="W318" s="173"/>
      <c r="X318" s="173"/>
      <c r="Y318" s="179"/>
      <c r="Z318" s="173"/>
      <c r="AA318" s="173"/>
      <c r="AB318" s="173"/>
      <c r="AC318" s="173"/>
      <c r="AD318" s="173"/>
      <c r="AE318" s="173"/>
      <c r="AF318" s="173"/>
      <c r="AG318" s="173"/>
      <c r="AH318" s="173"/>
      <c r="AI318" s="173"/>
      <c r="AJ318" s="173"/>
    </row>
    <row r="319" spans="12:36" x14ac:dyDescent="0.2">
      <c r="L319" s="173"/>
      <c r="M319" s="173"/>
      <c r="N319" s="173"/>
      <c r="O319" s="173"/>
      <c r="Q319" s="173"/>
      <c r="R319" s="173"/>
      <c r="S319" s="173"/>
      <c r="T319" s="173"/>
      <c r="U319" s="173"/>
      <c r="V319" s="173"/>
      <c r="W319" s="173"/>
      <c r="X319" s="173"/>
      <c r="Y319" s="179"/>
      <c r="Z319" s="173"/>
      <c r="AA319" s="173"/>
      <c r="AB319" s="173"/>
      <c r="AC319" s="173"/>
      <c r="AD319" s="173"/>
      <c r="AE319" s="173"/>
      <c r="AF319" s="173"/>
      <c r="AG319" s="173"/>
      <c r="AH319" s="173"/>
      <c r="AI319" s="173"/>
      <c r="AJ319" s="173"/>
    </row>
    <row r="320" spans="12:36" x14ac:dyDescent="0.2">
      <c r="L320" s="173"/>
      <c r="M320" s="173"/>
      <c r="N320" s="173"/>
      <c r="O320" s="173"/>
      <c r="Q320" s="173"/>
      <c r="R320" s="173"/>
      <c r="S320" s="173"/>
      <c r="T320" s="173"/>
      <c r="U320" s="173"/>
      <c r="V320" s="173"/>
      <c r="W320" s="173"/>
      <c r="X320" s="173"/>
      <c r="Y320" s="179"/>
      <c r="Z320" s="173"/>
      <c r="AA320" s="173"/>
      <c r="AB320" s="173"/>
      <c r="AC320" s="173"/>
      <c r="AD320" s="173"/>
      <c r="AE320" s="173"/>
      <c r="AF320" s="173"/>
      <c r="AG320" s="173"/>
      <c r="AH320" s="173"/>
      <c r="AI320" s="173"/>
      <c r="AJ320" s="173"/>
    </row>
    <row r="321" spans="12:36" x14ac:dyDescent="0.2">
      <c r="L321" s="173"/>
      <c r="M321" s="173"/>
      <c r="N321" s="173"/>
      <c r="O321" s="173"/>
      <c r="Q321" s="173"/>
      <c r="R321" s="173"/>
      <c r="S321" s="173"/>
      <c r="T321" s="173"/>
      <c r="U321" s="173"/>
      <c r="V321" s="173"/>
      <c r="W321" s="173"/>
      <c r="X321" s="173"/>
      <c r="Y321" s="179"/>
      <c r="Z321" s="173"/>
      <c r="AA321" s="173"/>
      <c r="AB321" s="173"/>
      <c r="AC321" s="173"/>
      <c r="AD321" s="173"/>
      <c r="AE321" s="173"/>
      <c r="AF321" s="173"/>
      <c r="AG321" s="173"/>
      <c r="AH321" s="173"/>
      <c r="AI321" s="173"/>
      <c r="AJ321" s="173"/>
    </row>
    <row r="322" spans="12:36" x14ac:dyDescent="0.2">
      <c r="L322" s="173"/>
      <c r="M322" s="173"/>
      <c r="N322" s="173"/>
      <c r="O322" s="173"/>
      <c r="Q322" s="173"/>
      <c r="R322" s="173"/>
      <c r="S322" s="173"/>
      <c r="T322" s="173"/>
      <c r="U322" s="173"/>
      <c r="V322" s="173"/>
      <c r="W322" s="173"/>
      <c r="X322" s="173"/>
      <c r="Y322" s="179"/>
      <c r="Z322" s="173"/>
      <c r="AA322" s="173"/>
      <c r="AB322" s="173"/>
      <c r="AC322" s="173"/>
      <c r="AD322" s="173"/>
      <c r="AE322" s="173"/>
      <c r="AF322" s="173"/>
      <c r="AG322" s="173"/>
      <c r="AH322" s="173"/>
      <c r="AI322" s="173"/>
      <c r="AJ322" s="173"/>
    </row>
    <row r="323" spans="12:36" x14ac:dyDescent="0.2">
      <c r="L323" s="173"/>
      <c r="M323" s="173"/>
      <c r="N323" s="173"/>
      <c r="O323" s="173"/>
      <c r="Q323" s="173"/>
      <c r="R323" s="173"/>
      <c r="S323" s="173"/>
      <c r="T323" s="173"/>
      <c r="U323" s="173"/>
      <c r="V323" s="173"/>
      <c r="W323" s="173"/>
      <c r="X323" s="173"/>
      <c r="Y323" s="179"/>
      <c r="Z323" s="173"/>
      <c r="AA323" s="173"/>
      <c r="AB323" s="173"/>
      <c r="AC323" s="173"/>
      <c r="AD323" s="173"/>
      <c r="AE323" s="173"/>
      <c r="AF323" s="173"/>
      <c r="AG323" s="173"/>
      <c r="AH323" s="173"/>
      <c r="AI323" s="173"/>
      <c r="AJ323" s="173"/>
    </row>
    <row r="324" spans="12:36" x14ac:dyDescent="0.2">
      <c r="L324" s="173"/>
      <c r="M324" s="173"/>
      <c r="N324" s="173"/>
      <c r="O324" s="173"/>
      <c r="Q324" s="173"/>
      <c r="R324" s="173"/>
      <c r="S324" s="173"/>
      <c r="T324" s="173"/>
      <c r="U324" s="173"/>
      <c r="V324" s="173"/>
      <c r="W324" s="173"/>
      <c r="X324" s="173"/>
      <c r="Y324" s="179"/>
      <c r="Z324" s="173"/>
      <c r="AA324" s="173"/>
      <c r="AB324" s="173"/>
      <c r="AC324" s="173"/>
      <c r="AD324" s="173"/>
      <c r="AE324" s="173"/>
      <c r="AF324" s="173"/>
      <c r="AG324" s="173"/>
      <c r="AH324" s="173"/>
      <c r="AI324" s="173"/>
      <c r="AJ324" s="173"/>
    </row>
    <row r="325" spans="12:36" x14ac:dyDescent="0.2">
      <c r="L325" s="173"/>
      <c r="M325" s="173"/>
      <c r="N325" s="173"/>
      <c r="O325" s="173"/>
      <c r="Q325" s="173"/>
      <c r="R325" s="173"/>
      <c r="S325" s="173"/>
      <c r="T325" s="173"/>
      <c r="U325" s="173"/>
      <c r="V325" s="173"/>
      <c r="W325" s="173"/>
      <c r="X325" s="173"/>
      <c r="Y325" s="179"/>
      <c r="Z325" s="173"/>
      <c r="AA325" s="173"/>
      <c r="AB325" s="173"/>
      <c r="AC325" s="173"/>
      <c r="AD325" s="173"/>
      <c r="AE325" s="173"/>
      <c r="AF325" s="173"/>
      <c r="AG325" s="173"/>
      <c r="AH325" s="173"/>
      <c r="AI325" s="173"/>
      <c r="AJ325" s="173"/>
    </row>
    <row r="326" spans="12:36" x14ac:dyDescent="0.2">
      <c r="L326" s="173"/>
      <c r="M326" s="173"/>
      <c r="N326" s="173"/>
      <c r="O326" s="173"/>
      <c r="Q326" s="173"/>
      <c r="R326" s="173"/>
      <c r="S326" s="173"/>
      <c r="T326" s="173"/>
      <c r="U326" s="173"/>
      <c r="V326" s="173"/>
      <c r="W326" s="173"/>
      <c r="X326" s="173"/>
      <c r="Y326" s="179"/>
      <c r="Z326" s="173"/>
      <c r="AA326" s="173"/>
      <c r="AB326" s="173"/>
      <c r="AC326" s="173"/>
      <c r="AD326" s="173"/>
      <c r="AE326" s="173"/>
      <c r="AF326" s="173"/>
      <c r="AG326" s="173"/>
      <c r="AH326" s="173"/>
      <c r="AI326" s="173"/>
      <c r="AJ326" s="173"/>
    </row>
    <row r="327" spans="12:36" x14ac:dyDescent="0.2">
      <c r="L327" s="173"/>
      <c r="M327" s="173"/>
      <c r="N327" s="173"/>
      <c r="O327" s="173"/>
      <c r="Q327" s="173"/>
      <c r="R327" s="173"/>
      <c r="S327" s="173"/>
      <c r="T327" s="173"/>
      <c r="U327" s="173"/>
      <c r="V327" s="173"/>
      <c r="W327" s="173"/>
      <c r="X327" s="173"/>
      <c r="Y327" s="179"/>
      <c r="Z327" s="173"/>
      <c r="AA327" s="173"/>
      <c r="AB327" s="173"/>
      <c r="AC327" s="173"/>
      <c r="AD327" s="173"/>
      <c r="AE327" s="173"/>
      <c r="AF327" s="173"/>
      <c r="AG327" s="173"/>
      <c r="AH327" s="173"/>
      <c r="AI327" s="173"/>
      <c r="AJ327" s="173"/>
    </row>
    <row r="328" spans="12:36" x14ac:dyDescent="0.2">
      <c r="L328" s="173"/>
      <c r="M328" s="173"/>
      <c r="N328" s="173"/>
      <c r="O328" s="173"/>
      <c r="Q328" s="173"/>
      <c r="R328" s="173"/>
      <c r="S328" s="173"/>
      <c r="T328" s="173"/>
      <c r="U328" s="173"/>
      <c r="V328" s="173"/>
      <c r="W328" s="173"/>
      <c r="X328" s="173"/>
      <c r="Y328" s="179"/>
      <c r="Z328" s="173"/>
      <c r="AA328" s="173"/>
      <c r="AB328" s="173"/>
      <c r="AC328" s="173"/>
      <c r="AD328" s="173"/>
      <c r="AE328" s="173"/>
      <c r="AF328" s="173"/>
      <c r="AG328" s="173"/>
      <c r="AH328" s="173"/>
      <c r="AI328" s="173"/>
      <c r="AJ328" s="173"/>
    </row>
    <row r="329" spans="12:36" x14ac:dyDescent="0.2">
      <c r="L329" s="173"/>
      <c r="M329" s="173"/>
      <c r="N329" s="173"/>
      <c r="O329" s="173"/>
      <c r="Q329" s="173"/>
      <c r="R329" s="173"/>
      <c r="S329" s="173"/>
      <c r="T329" s="173"/>
      <c r="U329" s="173"/>
      <c r="V329" s="173"/>
      <c r="W329" s="173"/>
      <c r="X329" s="173"/>
      <c r="Y329" s="179"/>
      <c r="Z329" s="173"/>
      <c r="AA329" s="173"/>
      <c r="AB329" s="173"/>
      <c r="AC329" s="173"/>
      <c r="AD329" s="173"/>
      <c r="AE329" s="173"/>
      <c r="AF329" s="173"/>
      <c r="AG329" s="173"/>
      <c r="AH329" s="173"/>
      <c r="AI329" s="173"/>
      <c r="AJ329" s="173"/>
    </row>
    <row r="330" spans="12:36" x14ac:dyDescent="0.2">
      <c r="L330" s="173"/>
      <c r="M330" s="173"/>
      <c r="N330" s="173"/>
      <c r="O330" s="173"/>
      <c r="Q330" s="173"/>
      <c r="R330" s="173"/>
      <c r="S330" s="173"/>
      <c r="T330" s="173"/>
      <c r="U330" s="173"/>
      <c r="V330" s="173"/>
      <c r="W330" s="173"/>
      <c r="X330" s="173"/>
      <c r="Y330" s="179"/>
      <c r="Z330" s="173"/>
      <c r="AA330" s="173"/>
      <c r="AB330" s="173"/>
      <c r="AC330" s="173"/>
      <c r="AD330" s="173"/>
      <c r="AE330" s="173"/>
      <c r="AF330" s="173"/>
      <c r="AG330" s="173"/>
      <c r="AH330" s="173"/>
      <c r="AI330" s="173"/>
      <c r="AJ330" s="173"/>
    </row>
    <row r="331" spans="12:36" x14ac:dyDescent="0.2">
      <c r="L331" s="173"/>
      <c r="M331" s="173"/>
      <c r="N331" s="173"/>
      <c r="O331" s="173"/>
      <c r="Q331" s="173"/>
      <c r="R331" s="173"/>
      <c r="S331" s="173"/>
      <c r="T331" s="173"/>
      <c r="U331" s="173"/>
      <c r="V331" s="173"/>
      <c r="W331" s="173"/>
      <c r="X331" s="173"/>
      <c r="Y331" s="179"/>
      <c r="Z331" s="173"/>
      <c r="AA331" s="173"/>
      <c r="AB331" s="173"/>
      <c r="AC331" s="173"/>
      <c r="AD331" s="173"/>
      <c r="AE331" s="173"/>
      <c r="AF331" s="173"/>
      <c r="AG331" s="173"/>
      <c r="AH331" s="173"/>
      <c r="AI331" s="173"/>
      <c r="AJ331" s="173"/>
    </row>
    <row r="332" spans="12:36" x14ac:dyDescent="0.2">
      <c r="L332" s="173"/>
      <c r="M332" s="173"/>
      <c r="N332" s="173"/>
      <c r="O332" s="173"/>
      <c r="Q332" s="173"/>
      <c r="R332" s="173"/>
      <c r="S332" s="173"/>
      <c r="T332" s="173"/>
      <c r="U332" s="173"/>
      <c r="V332" s="173"/>
      <c r="W332" s="173"/>
      <c r="X332" s="173"/>
      <c r="Y332" s="173"/>
      <c r="Z332" s="173"/>
      <c r="AA332" s="173"/>
      <c r="AB332" s="173"/>
      <c r="AC332" s="173"/>
      <c r="AD332" s="173"/>
      <c r="AE332" s="173"/>
      <c r="AF332" s="173"/>
      <c r="AG332" s="173"/>
      <c r="AH332" s="173"/>
      <c r="AI332" s="173"/>
      <c r="AJ332" s="173"/>
    </row>
    <row r="333" spans="12:36" x14ac:dyDescent="0.2">
      <c r="L333" s="173"/>
      <c r="M333" s="173"/>
      <c r="N333" s="173"/>
      <c r="O333" s="173"/>
      <c r="Q333" s="173"/>
      <c r="R333" s="173"/>
      <c r="S333" s="173"/>
      <c r="T333" s="173"/>
      <c r="U333" s="173"/>
      <c r="V333" s="173"/>
      <c r="W333" s="173"/>
      <c r="X333" s="173"/>
      <c r="Y333" s="173"/>
      <c r="Z333" s="173"/>
      <c r="AA333" s="173"/>
      <c r="AB333" s="173"/>
      <c r="AC333" s="173"/>
      <c r="AD333" s="173"/>
      <c r="AE333" s="173"/>
      <c r="AF333" s="173"/>
      <c r="AG333" s="173"/>
      <c r="AH333" s="173"/>
      <c r="AI333" s="173"/>
      <c r="AJ333" s="173"/>
    </row>
    <row r="334" spans="12:36" x14ac:dyDescent="0.2">
      <c r="L334" s="173"/>
      <c r="M334" s="173"/>
      <c r="N334" s="173"/>
      <c r="O334" s="173"/>
      <c r="Q334" s="173"/>
      <c r="R334" s="173"/>
      <c r="S334" s="173"/>
      <c r="T334" s="173"/>
      <c r="U334" s="173"/>
      <c r="V334" s="173"/>
      <c r="W334" s="173"/>
      <c r="X334" s="173"/>
      <c r="Y334" s="173"/>
      <c r="Z334" s="173"/>
      <c r="AA334" s="173"/>
      <c r="AB334" s="173"/>
      <c r="AC334" s="173"/>
      <c r="AD334" s="173"/>
      <c r="AE334" s="173"/>
      <c r="AF334" s="173"/>
      <c r="AG334" s="173"/>
      <c r="AH334" s="173"/>
      <c r="AI334" s="173"/>
      <c r="AJ334" s="173"/>
    </row>
    <row r="335" spans="12:36" x14ac:dyDescent="0.2">
      <c r="L335" s="173"/>
      <c r="M335" s="173"/>
      <c r="N335" s="173"/>
      <c r="O335" s="173"/>
      <c r="Q335" s="173"/>
      <c r="R335" s="173"/>
      <c r="S335" s="173"/>
      <c r="T335" s="173"/>
      <c r="U335" s="173"/>
      <c r="V335" s="173"/>
      <c r="W335" s="173"/>
      <c r="X335" s="173"/>
      <c r="Y335" s="173"/>
      <c r="Z335" s="173"/>
      <c r="AA335" s="173"/>
      <c r="AB335" s="173"/>
      <c r="AC335" s="173"/>
      <c r="AD335" s="173"/>
      <c r="AE335" s="173"/>
      <c r="AF335" s="173"/>
      <c r="AG335" s="173"/>
      <c r="AH335" s="173"/>
      <c r="AI335" s="173"/>
      <c r="AJ335" s="173"/>
    </row>
    <row r="336" spans="12:36" x14ac:dyDescent="0.2">
      <c r="L336" s="173"/>
      <c r="M336" s="173"/>
      <c r="N336" s="173"/>
      <c r="O336" s="173"/>
      <c r="Q336" s="173"/>
      <c r="R336" s="173"/>
      <c r="S336" s="173"/>
      <c r="T336" s="173"/>
      <c r="U336" s="173"/>
      <c r="V336" s="173"/>
      <c r="W336" s="173"/>
      <c r="X336" s="173"/>
      <c r="Y336" s="173"/>
      <c r="Z336" s="173"/>
      <c r="AA336" s="173"/>
      <c r="AB336" s="173"/>
      <c r="AC336" s="173"/>
      <c r="AD336" s="173"/>
      <c r="AE336" s="173"/>
      <c r="AF336" s="173"/>
      <c r="AG336" s="173"/>
      <c r="AH336" s="173"/>
      <c r="AI336" s="173"/>
      <c r="AJ336" s="173"/>
    </row>
    <row r="337" spans="12:36" x14ac:dyDescent="0.2">
      <c r="L337" s="173"/>
      <c r="M337" s="173"/>
      <c r="N337" s="173"/>
      <c r="O337" s="173"/>
      <c r="Q337" s="173"/>
      <c r="R337" s="173"/>
      <c r="S337" s="173"/>
      <c r="T337" s="173"/>
      <c r="U337" s="173"/>
      <c r="V337" s="173"/>
      <c r="W337" s="173"/>
      <c r="X337" s="173"/>
      <c r="Y337" s="173"/>
      <c r="Z337" s="173"/>
      <c r="AA337" s="173"/>
      <c r="AB337" s="173"/>
      <c r="AC337" s="173"/>
      <c r="AD337" s="173"/>
      <c r="AE337" s="173"/>
      <c r="AF337" s="173"/>
      <c r="AG337" s="173"/>
      <c r="AH337" s="173"/>
      <c r="AI337" s="173"/>
      <c r="AJ337" s="173"/>
    </row>
    <row r="338" spans="12:36" x14ac:dyDescent="0.2">
      <c r="L338" s="173"/>
      <c r="M338" s="173"/>
      <c r="N338" s="173"/>
      <c r="O338" s="173"/>
      <c r="Q338" s="173"/>
      <c r="R338" s="173"/>
      <c r="S338" s="173"/>
      <c r="T338" s="173"/>
      <c r="U338" s="173"/>
      <c r="V338" s="173"/>
      <c r="W338" s="173"/>
      <c r="X338" s="173"/>
      <c r="Y338" s="173"/>
      <c r="Z338" s="173"/>
      <c r="AA338" s="173"/>
      <c r="AB338" s="173"/>
      <c r="AC338" s="173"/>
      <c r="AD338" s="173"/>
      <c r="AE338" s="173"/>
      <c r="AF338" s="173"/>
      <c r="AG338" s="173"/>
      <c r="AH338" s="173"/>
      <c r="AI338" s="173"/>
      <c r="AJ338" s="173"/>
    </row>
    <row r="339" spans="12:36" x14ac:dyDescent="0.2">
      <c r="L339" s="173"/>
      <c r="M339" s="173"/>
      <c r="N339" s="173"/>
      <c r="O339" s="173"/>
      <c r="Q339" s="173"/>
      <c r="R339" s="173"/>
      <c r="S339" s="173"/>
      <c r="T339" s="173"/>
      <c r="U339" s="173"/>
      <c r="V339" s="173"/>
      <c r="W339" s="173"/>
      <c r="X339" s="173"/>
      <c r="Y339" s="173"/>
      <c r="Z339" s="173"/>
      <c r="AA339" s="173"/>
      <c r="AB339" s="173"/>
      <c r="AC339" s="173"/>
      <c r="AD339" s="173"/>
      <c r="AE339" s="173"/>
      <c r="AF339" s="173"/>
      <c r="AG339" s="173"/>
      <c r="AH339" s="173"/>
      <c r="AI339" s="173"/>
      <c r="AJ339" s="173"/>
    </row>
    <row r="340" spans="12:36" x14ac:dyDescent="0.2">
      <c r="L340" s="173"/>
      <c r="M340" s="173"/>
      <c r="N340" s="173"/>
      <c r="O340" s="173"/>
      <c r="Q340" s="173"/>
      <c r="R340" s="173"/>
      <c r="S340" s="173"/>
      <c r="T340" s="173"/>
      <c r="U340" s="173"/>
      <c r="V340" s="173"/>
      <c r="W340" s="173"/>
      <c r="X340" s="173"/>
      <c r="Y340" s="173"/>
      <c r="Z340" s="173"/>
      <c r="AA340" s="173"/>
      <c r="AB340" s="173"/>
      <c r="AC340" s="173"/>
      <c r="AD340" s="173"/>
      <c r="AE340" s="173"/>
      <c r="AF340" s="173"/>
      <c r="AG340" s="173"/>
      <c r="AH340" s="173"/>
      <c r="AI340" s="173"/>
      <c r="AJ340" s="173"/>
    </row>
    <row r="341" spans="12:36" x14ac:dyDescent="0.2">
      <c r="L341" s="173"/>
      <c r="M341" s="173"/>
      <c r="N341" s="173"/>
      <c r="O341" s="173"/>
      <c r="Q341" s="173"/>
      <c r="R341" s="173"/>
      <c r="S341" s="173"/>
      <c r="T341" s="173"/>
      <c r="U341" s="173"/>
      <c r="V341" s="173"/>
      <c r="W341" s="173"/>
      <c r="X341" s="173"/>
      <c r="Y341" s="173"/>
      <c r="Z341" s="173"/>
      <c r="AA341" s="173"/>
      <c r="AB341" s="173"/>
      <c r="AC341" s="173"/>
      <c r="AD341" s="173"/>
      <c r="AE341" s="173"/>
      <c r="AF341" s="173"/>
      <c r="AG341" s="173"/>
      <c r="AH341" s="173"/>
      <c r="AI341" s="173"/>
      <c r="AJ341" s="173"/>
    </row>
  </sheetData>
  <sheetProtection algorithmName="SHA-512" hashValue="PLCZcGxwTgBvQIfaL0DKNHQjCV8HklFpG4kXQQW+RulPEClbbBd6QNuWbcCpNJ1wqVigUzhYmwW6Q/Tj2AIQNA==" saltValue="LA3q/JPVyCNqZoFlLZBkIw==" spinCount="100000" sheet="1" objects="1" scenarios="1"/>
  <autoFilter ref="B2:AJ256" xr:uid="{4AC58469-8BE9-4FAB-9E14-9F6F87EE681E}"/>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233CC-736B-4605-8C56-F806F1975DBA}">
  <dimension ref="B2:AM341"/>
  <sheetViews>
    <sheetView showGridLines="0" zoomScale="80" zoomScaleNormal="80" workbookViewId="0">
      <pane xSplit="4" ySplit="2" topLeftCell="E27" activePane="bottomRight" state="frozen"/>
      <selection activeCell="C49" sqref="C49"/>
      <selection pane="topRight" activeCell="C49" sqref="C49"/>
      <selection pane="bottomLeft" activeCell="C49" sqref="C49"/>
      <selection pane="bottomRight" activeCell="H51" sqref="H51"/>
    </sheetView>
  </sheetViews>
  <sheetFormatPr defaultRowHeight="12.75" x14ac:dyDescent="0.2"/>
  <cols>
    <col min="1" max="1" width="2.28515625" style="167" customWidth="1"/>
    <col min="2" max="2" width="36.42578125" style="167" customWidth="1"/>
    <col min="3" max="3" width="24.5703125" style="167" customWidth="1"/>
    <col min="4" max="4" width="82" style="170" customWidth="1"/>
    <col min="5" max="5" width="30.28515625" style="167" customWidth="1"/>
    <col min="6" max="6" width="12" style="167" customWidth="1"/>
    <col min="7" max="7" width="25.5703125" style="174" customWidth="1"/>
    <col min="8" max="9" width="16.140625" style="177" customWidth="1"/>
    <col min="10" max="10" width="20.140625" style="174" customWidth="1"/>
    <col min="11" max="11" width="28.28515625" style="177" customWidth="1"/>
    <col min="12" max="12" width="33.5703125" style="173" customWidth="1"/>
    <col min="13" max="13" width="40.5703125" style="174" customWidth="1"/>
    <col min="14" max="14" width="27.85546875" style="174" customWidth="1"/>
    <col min="15" max="15" width="42" style="174" customWidth="1"/>
    <col min="16" max="16" width="34" style="174" customWidth="1"/>
    <col min="17" max="17" width="26.85546875" style="174" customWidth="1"/>
    <col min="18" max="18" width="33.7109375" style="174" customWidth="1"/>
    <col min="19" max="20" width="21.140625" style="174" customWidth="1"/>
    <col min="21" max="21" width="19.42578125" style="174" customWidth="1"/>
    <col min="22" max="22" width="17.28515625" style="174" customWidth="1"/>
    <col min="23" max="23" width="21.5703125" style="174" customWidth="1"/>
    <col min="24" max="24" width="27.5703125" style="174" customWidth="1"/>
    <col min="25" max="25" width="20.140625" style="174" customWidth="1"/>
    <col min="26" max="26" width="19.5703125" style="174" customWidth="1"/>
    <col min="27" max="27" width="23.42578125" style="174" customWidth="1"/>
    <col min="28" max="28" width="13" style="174" customWidth="1"/>
    <col min="29" max="29" width="19.5703125" style="174" customWidth="1"/>
    <col min="30" max="30" width="22" style="174" customWidth="1"/>
    <col min="31" max="31" width="21.7109375" style="174" customWidth="1"/>
    <col min="32" max="36" width="19.85546875" style="174" customWidth="1"/>
    <col min="37" max="37" width="22.7109375" style="174" customWidth="1"/>
    <col min="38" max="38" width="71.140625" style="167" customWidth="1"/>
    <col min="39" max="16384" width="9.140625" style="167"/>
  </cols>
  <sheetData>
    <row r="2" spans="2:39" s="166" customFormat="1" ht="66.75" customHeight="1" x14ac:dyDescent="0.2">
      <c r="B2" s="161" t="s">
        <v>8</v>
      </c>
      <c r="C2" s="161" t="s">
        <v>12</v>
      </c>
      <c r="D2" s="162" t="s">
        <v>7</v>
      </c>
      <c r="E2" s="161" t="s">
        <v>13</v>
      </c>
      <c r="F2" s="161" t="s">
        <v>14</v>
      </c>
      <c r="G2" s="180" t="s">
        <v>563</v>
      </c>
      <c r="H2" s="181" t="s">
        <v>16</v>
      </c>
      <c r="I2" s="181" t="s">
        <v>17</v>
      </c>
      <c r="J2" s="180" t="s">
        <v>18</v>
      </c>
      <c r="K2" s="181" t="s">
        <v>654</v>
      </c>
      <c r="L2" s="182" t="s">
        <v>890</v>
      </c>
      <c r="M2" s="180" t="s">
        <v>891</v>
      </c>
      <c r="N2" s="180" t="s">
        <v>892</v>
      </c>
      <c r="O2" s="180" t="s">
        <v>893</v>
      </c>
      <c r="P2" s="180" t="s">
        <v>894</v>
      </c>
      <c r="Q2" s="180" t="s">
        <v>895</v>
      </c>
      <c r="R2" s="180" t="s">
        <v>896</v>
      </c>
      <c r="S2" s="180" t="s">
        <v>897</v>
      </c>
      <c r="T2" s="180" t="s">
        <v>898</v>
      </c>
      <c r="U2" s="180" t="s">
        <v>899</v>
      </c>
      <c r="V2" s="180" t="s">
        <v>900</v>
      </c>
      <c r="W2" s="180" t="s">
        <v>901</v>
      </c>
      <c r="X2" s="180" t="s">
        <v>564</v>
      </c>
      <c r="Y2" s="180" t="s">
        <v>902</v>
      </c>
      <c r="Z2" s="180" t="s">
        <v>903</v>
      </c>
      <c r="AA2" s="180" t="s">
        <v>48</v>
      </c>
      <c r="AB2" s="180" t="s">
        <v>50</v>
      </c>
      <c r="AC2" s="164" t="s">
        <v>1</v>
      </c>
      <c r="AD2" s="180" t="s">
        <v>566</v>
      </c>
      <c r="AE2" s="180" t="s">
        <v>909</v>
      </c>
      <c r="AF2" s="180" t="s">
        <v>908</v>
      </c>
      <c r="AG2" s="180" t="s">
        <v>907</v>
      </c>
      <c r="AH2" s="180" t="s">
        <v>906</v>
      </c>
      <c r="AI2" s="180" t="s">
        <v>639</v>
      </c>
      <c r="AJ2" s="180" t="s">
        <v>905</v>
      </c>
      <c r="AK2" s="180" t="s">
        <v>904</v>
      </c>
    </row>
    <row r="3" spans="2:39" x14ac:dyDescent="0.2">
      <c r="B3" s="214" t="s">
        <v>59</v>
      </c>
      <c r="C3" s="214" t="s">
        <v>60</v>
      </c>
      <c r="D3" s="215" t="s">
        <v>61</v>
      </c>
      <c r="E3" s="216" t="s">
        <v>62</v>
      </c>
      <c r="F3" s="216" t="s">
        <v>63</v>
      </c>
      <c r="G3" s="248">
        <v>0.23388530499999999</v>
      </c>
      <c r="H3" s="242">
        <v>2381917</v>
      </c>
      <c r="I3" s="220"/>
      <c r="J3" s="218"/>
      <c r="K3" s="218"/>
      <c r="L3" s="218"/>
      <c r="M3" s="225"/>
      <c r="N3" s="234"/>
      <c r="O3" s="218"/>
      <c r="P3" s="234"/>
      <c r="Q3" s="234"/>
      <c r="R3" s="234"/>
      <c r="S3" s="234"/>
      <c r="T3" s="234"/>
      <c r="U3" s="234"/>
      <c r="V3" s="218"/>
      <c r="W3" s="218"/>
      <c r="X3" s="218"/>
      <c r="Y3" s="234"/>
      <c r="Z3" s="218"/>
      <c r="AA3" s="218"/>
      <c r="AB3" s="220"/>
      <c r="AC3" s="218"/>
      <c r="AD3" s="218"/>
      <c r="AE3" s="225"/>
      <c r="AF3" s="249"/>
      <c r="AG3" s="249"/>
      <c r="AH3" s="249"/>
      <c r="AI3" s="249"/>
      <c r="AJ3" s="249"/>
      <c r="AK3" s="249"/>
      <c r="AL3" s="150"/>
    </row>
    <row r="4" spans="2:39" x14ac:dyDescent="0.2">
      <c r="B4" s="214" t="s">
        <v>59</v>
      </c>
      <c r="C4" s="214" t="s">
        <v>64</v>
      </c>
      <c r="D4" s="232" t="s">
        <v>65</v>
      </c>
      <c r="E4" s="216" t="s">
        <v>66</v>
      </c>
      <c r="F4" s="216" t="s">
        <v>67</v>
      </c>
      <c r="G4" s="248">
        <v>1.067464E-4</v>
      </c>
      <c r="H4" s="242">
        <v>396300</v>
      </c>
      <c r="I4" s="220"/>
      <c r="J4" s="220"/>
      <c r="K4" s="218"/>
      <c r="L4" s="220"/>
      <c r="M4" s="234"/>
      <c r="N4" s="234"/>
      <c r="O4" s="234"/>
      <c r="P4" s="234"/>
      <c r="Q4" s="234"/>
      <c r="R4" s="234"/>
      <c r="S4" s="234"/>
      <c r="T4" s="234"/>
      <c r="U4" s="234"/>
      <c r="V4" s="220"/>
      <c r="W4" s="220"/>
      <c r="X4" s="220"/>
      <c r="Y4" s="234"/>
      <c r="Z4" s="220"/>
      <c r="AA4" s="218"/>
      <c r="AB4" s="225"/>
      <c r="AC4" s="220"/>
      <c r="AD4" s="220"/>
      <c r="AE4" s="225"/>
      <c r="AF4" s="250"/>
      <c r="AG4" s="250"/>
      <c r="AH4" s="250"/>
      <c r="AI4" s="250"/>
      <c r="AJ4" s="250"/>
      <c r="AK4" s="250"/>
      <c r="AL4" s="150"/>
    </row>
    <row r="5" spans="2:39" x14ac:dyDescent="0.2">
      <c r="B5" s="214" t="s">
        <v>59</v>
      </c>
      <c r="C5" s="214" t="s">
        <v>69</v>
      </c>
      <c r="D5" s="215" t="s">
        <v>669</v>
      </c>
      <c r="E5" s="216" t="s">
        <v>96</v>
      </c>
      <c r="F5" s="216" t="s">
        <v>72</v>
      </c>
      <c r="G5" s="248">
        <v>9.7000000000000003E-3</v>
      </c>
      <c r="H5" s="242">
        <v>10223143</v>
      </c>
      <c r="I5" s="220"/>
      <c r="J5" s="218"/>
      <c r="K5" s="218"/>
      <c r="L5" s="218"/>
      <c r="M5" s="225"/>
      <c r="N5" s="234"/>
      <c r="O5" s="225"/>
      <c r="P5" s="234"/>
      <c r="Q5" s="234"/>
      <c r="R5" s="234"/>
      <c r="S5" s="234"/>
      <c r="T5" s="234"/>
      <c r="U5" s="234"/>
      <c r="V5" s="220"/>
      <c r="W5" s="218"/>
      <c r="X5" s="218"/>
      <c r="Y5" s="234"/>
      <c r="Z5" s="220"/>
      <c r="AA5" s="218"/>
      <c r="AB5" s="234"/>
      <c r="AC5" s="218"/>
      <c r="AD5" s="218"/>
      <c r="AE5" s="225"/>
      <c r="AF5" s="249"/>
      <c r="AG5" s="249"/>
      <c r="AH5" s="249"/>
      <c r="AI5" s="249"/>
      <c r="AJ5" s="249"/>
      <c r="AK5" s="249"/>
      <c r="AL5" s="150"/>
    </row>
    <row r="6" spans="2:39" x14ac:dyDescent="0.2">
      <c r="B6" s="214" t="s">
        <v>59</v>
      </c>
      <c r="C6" s="214" t="s">
        <v>74</v>
      </c>
      <c r="D6" s="215" t="s">
        <v>75</v>
      </c>
      <c r="E6" s="216" t="s">
        <v>66</v>
      </c>
      <c r="F6" s="216" t="s">
        <v>76</v>
      </c>
      <c r="G6" s="248">
        <v>1.4039027799999999E-2</v>
      </c>
      <c r="H6" s="242">
        <v>1900000</v>
      </c>
      <c r="I6" s="220"/>
      <c r="J6" s="220"/>
      <c r="K6" s="218"/>
      <c r="L6" s="220"/>
      <c r="M6" s="234"/>
      <c r="N6" s="234"/>
      <c r="O6" s="234"/>
      <c r="P6" s="234"/>
      <c r="Q6" s="234"/>
      <c r="R6" s="234"/>
      <c r="S6" s="234"/>
      <c r="T6" s="234"/>
      <c r="U6" s="234"/>
      <c r="V6" s="220"/>
      <c r="W6" s="218"/>
      <c r="X6" s="220"/>
      <c r="Y6" s="234"/>
      <c r="Z6" s="220"/>
      <c r="AA6" s="218"/>
      <c r="AB6" s="234"/>
      <c r="AC6" s="220"/>
      <c r="AD6" s="218"/>
      <c r="AE6" s="225"/>
      <c r="AF6" s="250"/>
      <c r="AG6" s="250"/>
      <c r="AH6" s="250"/>
      <c r="AI6" s="249"/>
      <c r="AJ6" s="249"/>
      <c r="AK6" s="250"/>
      <c r="AL6" s="150"/>
    </row>
    <row r="7" spans="2:39" x14ac:dyDescent="0.2">
      <c r="B7" s="214" t="s">
        <v>59</v>
      </c>
      <c r="C7" s="214" t="s">
        <v>77</v>
      </c>
      <c r="D7" s="215" t="s">
        <v>78</v>
      </c>
      <c r="E7" s="216" t="s">
        <v>79</v>
      </c>
      <c r="F7" s="216" t="s">
        <v>80</v>
      </c>
      <c r="G7" s="248">
        <v>6.7970534200000002E-2</v>
      </c>
      <c r="H7" s="242">
        <f>753440+258515</f>
        <v>1011955</v>
      </c>
      <c r="I7" s="220"/>
      <c r="J7" s="218"/>
      <c r="K7" s="218"/>
      <c r="L7" s="218"/>
      <c r="M7" s="225"/>
      <c r="N7" s="225"/>
      <c r="O7" s="218"/>
      <c r="P7" s="234"/>
      <c r="Q7" s="234"/>
      <c r="R7" s="234"/>
      <c r="S7" s="234"/>
      <c r="T7" s="234"/>
      <c r="U7" s="234"/>
      <c r="V7" s="218"/>
      <c r="W7" s="218"/>
      <c r="X7" s="218"/>
      <c r="Y7" s="234"/>
      <c r="Z7" s="218"/>
      <c r="AA7" s="218"/>
      <c r="AB7" s="225"/>
      <c r="AC7" s="218"/>
      <c r="AD7" s="218"/>
      <c r="AE7" s="225"/>
      <c r="AF7" s="249"/>
      <c r="AG7" s="249"/>
      <c r="AH7" s="249"/>
      <c r="AI7" s="249"/>
      <c r="AJ7" s="249"/>
      <c r="AK7" s="249"/>
      <c r="AL7" s="150"/>
    </row>
    <row r="8" spans="2:39" x14ac:dyDescent="0.2">
      <c r="B8" s="214" t="s">
        <v>59</v>
      </c>
      <c r="C8" s="214" t="s">
        <v>81</v>
      </c>
      <c r="D8" s="215" t="s">
        <v>82</v>
      </c>
      <c r="E8" s="216" t="s">
        <v>83</v>
      </c>
      <c r="F8" s="216" t="s">
        <v>84</v>
      </c>
      <c r="G8" s="248">
        <v>2.7777797E-3</v>
      </c>
      <c r="H8" s="242">
        <v>13394945</v>
      </c>
      <c r="I8" s="220"/>
      <c r="J8" s="218"/>
      <c r="K8" s="220"/>
      <c r="L8" s="220"/>
      <c r="M8" s="225"/>
      <c r="N8" s="234"/>
      <c r="O8" s="220"/>
      <c r="P8" s="234"/>
      <c r="Q8" s="234"/>
      <c r="R8" s="234"/>
      <c r="S8" s="234"/>
      <c r="T8" s="234"/>
      <c r="U8" s="234"/>
      <c r="V8" s="220"/>
      <c r="W8" s="220"/>
      <c r="X8" s="220"/>
      <c r="Y8" s="234"/>
      <c r="Z8" s="220"/>
      <c r="AA8" s="220"/>
      <c r="AB8" s="234"/>
      <c r="AC8" s="220"/>
      <c r="AD8" s="220"/>
      <c r="AE8" s="234"/>
      <c r="AF8" s="250"/>
      <c r="AG8" s="250"/>
      <c r="AH8" s="250"/>
      <c r="AI8" s="250"/>
      <c r="AJ8" s="250"/>
      <c r="AK8" s="250"/>
      <c r="AL8" s="150"/>
    </row>
    <row r="9" spans="2:39" x14ac:dyDescent="0.2">
      <c r="B9" s="214" t="s">
        <v>59</v>
      </c>
      <c r="C9" s="214" t="s">
        <v>85</v>
      </c>
      <c r="D9" s="232" t="s">
        <v>86</v>
      </c>
      <c r="E9" s="216" t="s">
        <v>83</v>
      </c>
      <c r="F9" s="216" t="s">
        <v>87</v>
      </c>
      <c r="G9" s="248">
        <v>7.1170347800000006E-2</v>
      </c>
      <c r="H9" s="242">
        <f>345887*2</f>
        <v>691774</v>
      </c>
      <c r="I9" s="220"/>
      <c r="J9" s="218"/>
      <c r="K9" s="218"/>
      <c r="L9" s="218"/>
      <c r="M9" s="225"/>
      <c r="N9" s="225"/>
      <c r="O9" s="218"/>
      <c r="P9" s="234"/>
      <c r="Q9" s="234"/>
      <c r="R9" s="234"/>
      <c r="S9" s="234"/>
      <c r="T9" s="234"/>
      <c r="U9" s="234"/>
      <c r="V9" s="220"/>
      <c r="W9" s="218"/>
      <c r="X9" s="218"/>
      <c r="Y9" s="234"/>
      <c r="Z9" s="218"/>
      <c r="AA9" s="218"/>
      <c r="AB9" s="225"/>
      <c r="AC9" s="218"/>
      <c r="AD9" s="218"/>
      <c r="AE9" s="225"/>
      <c r="AF9" s="249"/>
      <c r="AG9" s="249"/>
      <c r="AH9" s="249"/>
      <c r="AI9" s="250"/>
      <c r="AJ9" s="249"/>
      <c r="AK9" s="249"/>
      <c r="AL9" s="150"/>
    </row>
    <row r="10" spans="2:39" x14ac:dyDescent="0.2">
      <c r="B10" s="214" t="s">
        <v>59</v>
      </c>
      <c r="C10" s="214" t="s">
        <v>89</v>
      </c>
      <c r="D10" s="215" t="s">
        <v>90</v>
      </c>
      <c r="E10" s="216" t="s">
        <v>135</v>
      </c>
      <c r="F10" s="216" t="s">
        <v>92</v>
      </c>
      <c r="G10" s="248">
        <v>8.4363999999999995E-2</v>
      </c>
      <c r="H10" s="242">
        <v>41500000</v>
      </c>
      <c r="I10" s="220"/>
      <c r="J10" s="218"/>
      <c r="K10" s="218"/>
      <c r="L10" s="218"/>
      <c r="M10" s="234"/>
      <c r="N10" s="234"/>
      <c r="O10" s="218"/>
      <c r="P10" s="234"/>
      <c r="Q10" s="234"/>
      <c r="R10" s="234"/>
      <c r="S10" s="234"/>
      <c r="T10" s="218">
        <f>'Data in Local Currency'!T10*'Data in Local Currency'!G10</f>
        <v>0</v>
      </c>
      <c r="U10" s="225"/>
      <c r="V10" s="218"/>
      <c r="W10" s="218"/>
      <c r="X10" s="218"/>
      <c r="Y10" s="234"/>
      <c r="Z10" s="218"/>
      <c r="AA10" s="218"/>
      <c r="AB10" s="225"/>
      <c r="AC10" s="218"/>
      <c r="AD10" s="218"/>
      <c r="AE10" s="225"/>
      <c r="AF10" s="249"/>
      <c r="AG10" s="249"/>
      <c r="AH10" s="249"/>
      <c r="AI10" s="249"/>
      <c r="AJ10" s="249"/>
      <c r="AK10" s="249"/>
      <c r="AL10" s="150"/>
    </row>
    <row r="11" spans="2:39" x14ac:dyDescent="0.2">
      <c r="B11" s="214" t="s">
        <v>59</v>
      </c>
      <c r="C11" s="214" t="s">
        <v>89</v>
      </c>
      <c r="D11" s="215" t="s">
        <v>93</v>
      </c>
      <c r="E11" s="216" t="s">
        <v>91</v>
      </c>
      <c r="F11" s="216" t="s">
        <v>92</v>
      </c>
      <c r="G11" s="248">
        <v>7.4476800900000001E-2</v>
      </c>
      <c r="H11" s="242">
        <v>63635</v>
      </c>
      <c r="I11" s="220"/>
      <c r="J11" s="218"/>
      <c r="K11" s="218"/>
      <c r="L11" s="218"/>
      <c r="M11" s="225"/>
      <c r="N11" s="225"/>
      <c r="O11" s="218"/>
      <c r="P11" s="234"/>
      <c r="Q11" s="234"/>
      <c r="R11" s="234"/>
      <c r="S11" s="234"/>
      <c r="T11" s="225">
        <f>'Data in Local Currency'!T11*'Data in Local Currency'!G11</f>
        <v>0</v>
      </c>
      <c r="U11" s="225"/>
      <c r="V11" s="218"/>
      <c r="W11" s="218"/>
      <c r="X11" s="218"/>
      <c r="Y11" s="234"/>
      <c r="Z11" s="220"/>
      <c r="AA11" s="218"/>
      <c r="AB11" s="225"/>
      <c r="AC11" s="218"/>
      <c r="AD11" s="218"/>
      <c r="AE11" s="225"/>
      <c r="AF11" s="249"/>
      <c r="AG11" s="249"/>
      <c r="AH11" s="249"/>
      <c r="AI11" s="249"/>
      <c r="AJ11" s="249"/>
      <c r="AK11" s="249"/>
      <c r="AL11" s="150"/>
    </row>
    <row r="12" spans="2:39" x14ac:dyDescent="0.2">
      <c r="B12" s="214" t="s">
        <v>59</v>
      </c>
      <c r="C12" s="214" t="s">
        <v>94</v>
      </c>
      <c r="D12" s="232" t="s">
        <v>95</v>
      </c>
      <c r="E12" s="216" t="s">
        <v>199</v>
      </c>
      <c r="F12" s="216" t="s">
        <v>97</v>
      </c>
      <c r="G12" s="248">
        <v>4.4669019999999998E-4</v>
      </c>
      <c r="H12" s="242">
        <v>3370000</v>
      </c>
      <c r="I12" s="220"/>
      <c r="J12" s="218"/>
      <c r="K12" s="218"/>
      <c r="L12" s="218"/>
      <c r="M12" s="234"/>
      <c r="N12" s="234"/>
      <c r="O12" s="218"/>
      <c r="P12" s="234"/>
      <c r="Q12" s="234"/>
      <c r="R12" s="234"/>
      <c r="S12" s="234"/>
      <c r="T12" s="234"/>
      <c r="U12" s="234"/>
      <c r="V12" s="220"/>
      <c r="W12" s="220"/>
      <c r="X12" s="220"/>
      <c r="Y12" s="234"/>
      <c r="Z12" s="220"/>
      <c r="AA12" s="220"/>
      <c r="AB12" s="234"/>
      <c r="AC12" s="220"/>
      <c r="AD12" s="220"/>
      <c r="AE12" s="234"/>
      <c r="AF12" s="250"/>
      <c r="AG12" s="250"/>
      <c r="AH12" s="250"/>
      <c r="AI12" s="250"/>
      <c r="AJ12" s="250"/>
      <c r="AK12" s="250"/>
      <c r="AL12" s="150"/>
    </row>
    <row r="13" spans="2:39" x14ac:dyDescent="0.2">
      <c r="B13" s="214" t="s">
        <v>59</v>
      </c>
      <c r="C13" s="214" t="s">
        <v>98</v>
      </c>
      <c r="D13" s="215" t="s">
        <v>99</v>
      </c>
      <c r="E13" s="216" t="s">
        <v>565</v>
      </c>
      <c r="F13" s="216" t="s">
        <v>101</v>
      </c>
      <c r="G13" s="248">
        <v>9.912E-2</v>
      </c>
      <c r="H13" s="242">
        <v>1748200</v>
      </c>
      <c r="I13" s="218"/>
      <c r="J13" s="218"/>
      <c r="K13" s="218"/>
      <c r="L13" s="220"/>
      <c r="M13" s="225"/>
      <c r="N13" s="225"/>
      <c r="O13" s="234"/>
      <c r="P13" s="234"/>
      <c r="Q13" s="234"/>
      <c r="R13" s="234"/>
      <c r="S13" s="225"/>
      <c r="T13" s="234"/>
      <c r="U13" s="225"/>
      <c r="V13" s="218"/>
      <c r="W13" s="218"/>
      <c r="X13" s="218"/>
      <c r="Y13" s="234"/>
      <c r="Z13" s="220"/>
      <c r="AA13" s="218"/>
      <c r="AB13" s="225"/>
      <c r="AC13" s="218"/>
      <c r="AD13" s="218"/>
      <c r="AE13" s="225"/>
      <c r="AF13" s="249"/>
      <c r="AG13" s="249"/>
      <c r="AH13" s="249"/>
      <c r="AI13" s="249"/>
      <c r="AJ13" s="249"/>
      <c r="AK13" s="249"/>
      <c r="AL13" s="150"/>
    </row>
    <row r="14" spans="2:39" x14ac:dyDescent="0.2">
      <c r="B14" s="214" t="s">
        <v>103</v>
      </c>
      <c r="C14" s="214" t="s">
        <v>104</v>
      </c>
      <c r="D14" s="232" t="s">
        <v>105</v>
      </c>
      <c r="E14" s="216" t="s">
        <v>83</v>
      </c>
      <c r="F14" s="216" t="s">
        <v>106</v>
      </c>
      <c r="G14" s="248">
        <v>0.1069421154</v>
      </c>
      <c r="H14" s="242">
        <v>20357866</v>
      </c>
      <c r="I14" s="220"/>
      <c r="J14" s="218"/>
      <c r="K14" s="218"/>
      <c r="L14" s="218"/>
      <c r="M14" s="234"/>
      <c r="N14" s="234"/>
      <c r="O14" s="218"/>
      <c r="P14" s="234"/>
      <c r="Q14" s="234"/>
      <c r="R14" s="234"/>
      <c r="S14" s="234"/>
      <c r="T14" s="234"/>
      <c r="U14" s="234"/>
      <c r="V14" s="220"/>
      <c r="W14" s="218"/>
      <c r="X14" s="220"/>
      <c r="Y14" s="234"/>
      <c r="Z14" s="220"/>
      <c r="AA14" s="218"/>
      <c r="AB14" s="225"/>
      <c r="AC14" s="220"/>
      <c r="AD14" s="220"/>
      <c r="AE14" s="234"/>
      <c r="AF14" s="250"/>
      <c r="AG14" s="250"/>
      <c r="AH14" s="250"/>
      <c r="AI14" s="250"/>
      <c r="AJ14" s="250"/>
      <c r="AK14" s="250"/>
      <c r="AL14" s="150"/>
    </row>
    <row r="15" spans="2:39" x14ac:dyDescent="0.2">
      <c r="B15" s="214" t="s">
        <v>103</v>
      </c>
      <c r="C15" s="214" t="s">
        <v>108</v>
      </c>
      <c r="D15" s="215" t="s">
        <v>109</v>
      </c>
      <c r="E15" s="216" t="s">
        <v>527</v>
      </c>
      <c r="F15" s="216" t="s">
        <v>110</v>
      </c>
      <c r="G15" s="248">
        <v>1.145548</v>
      </c>
      <c r="H15" s="242">
        <v>2490000</v>
      </c>
      <c r="I15" s="220"/>
      <c r="J15" s="220"/>
      <c r="K15" s="218"/>
      <c r="L15" s="220"/>
      <c r="M15" s="234"/>
      <c r="N15" s="234"/>
      <c r="O15" s="234"/>
      <c r="P15" s="234"/>
      <c r="Q15" s="234"/>
      <c r="R15" s="234"/>
      <c r="S15" s="234"/>
      <c r="T15" s="234"/>
      <c r="U15" s="234"/>
      <c r="V15" s="220"/>
      <c r="W15" s="220"/>
      <c r="X15" s="220"/>
      <c r="Y15" s="234"/>
      <c r="Z15" s="220"/>
      <c r="AA15" s="220"/>
      <c r="AB15" s="225"/>
      <c r="AC15" s="220"/>
      <c r="AD15" s="220"/>
      <c r="AE15" s="234"/>
      <c r="AF15" s="250"/>
      <c r="AG15" s="250"/>
      <c r="AH15" s="250"/>
      <c r="AI15" s="250"/>
      <c r="AJ15" s="250"/>
      <c r="AK15" s="250"/>
      <c r="AL15" s="150"/>
      <c r="AM15" s="167" t="s">
        <v>6</v>
      </c>
    </row>
    <row r="16" spans="2:39" x14ac:dyDescent="0.2">
      <c r="B16" s="214" t="s">
        <v>103</v>
      </c>
      <c r="C16" s="214" t="s">
        <v>111</v>
      </c>
      <c r="D16" s="232" t="s">
        <v>112</v>
      </c>
      <c r="E16" s="216" t="s">
        <v>113</v>
      </c>
      <c r="F16" s="216" t="s">
        <v>114</v>
      </c>
      <c r="G16" s="248">
        <v>0.12779552720000001</v>
      </c>
      <c r="H16" s="242">
        <v>14059891</v>
      </c>
      <c r="I16" s="220"/>
      <c r="J16" s="220"/>
      <c r="K16" s="218"/>
      <c r="L16" s="220"/>
      <c r="M16" s="234"/>
      <c r="N16" s="234"/>
      <c r="O16" s="234"/>
      <c r="P16" s="234"/>
      <c r="Q16" s="234"/>
      <c r="R16" s="234"/>
      <c r="S16" s="234"/>
      <c r="T16" s="234"/>
      <c r="U16" s="234"/>
      <c r="V16" s="220"/>
      <c r="W16" s="220"/>
      <c r="X16" s="220"/>
      <c r="Y16" s="234"/>
      <c r="Z16" s="220"/>
      <c r="AA16" s="220"/>
      <c r="AB16" s="234"/>
      <c r="AC16" s="220"/>
      <c r="AD16" s="220"/>
      <c r="AE16" s="225"/>
      <c r="AF16" s="250"/>
      <c r="AG16" s="250"/>
      <c r="AH16" s="250"/>
      <c r="AI16" s="250"/>
      <c r="AJ16" s="250"/>
      <c r="AK16" s="250"/>
      <c r="AL16" s="150"/>
    </row>
    <row r="17" spans="2:38" x14ac:dyDescent="0.2">
      <c r="B17" s="214" t="s">
        <v>115</v>
      </c>
      <c r="C17" s="214" t="s">
        <v>116</v>
      </c>
      <c r="D17" s="232" t="s">
        <v>117</v>
      </c>
      <c r="E17" s="216" t="s">
        <v>83</v>
      </c>
      <c r="F17" s="216" t="s">
        <v>118</v>
      </c>
      <c r="G17" s="248">
        <v>2.6595744681000002</v>
      </c>
      <c r="H17" s="242">
        <v>8477331</v>
      </c>
      <c r="I17" s="218"/>
      <c r="J17" s="218"/>
      <c r="K17" s="218"/>
      <c r="L17" s="220"/>
      <c r="M17" s="234"/>
      <c r="N17" s="234"/>
      <c r="O17" s="234"/>
      <c r="P17" s="225"/>
      <c r="Q17" s="234"/>
      <c r="R17" s="234"/>
      <c r="S17" s="234"/>
      <c r="T17" s="234"/>
      <c r="U17" s="234"/>
      <c r="V17" s="220"/>
      <c r="W17" s="220"/>
      <c r="X17" s="220"/>
      <c r="Y17" s="234"/>
      <c r="Z17" s="220"/>
      <c r="AA17" s="220"/>
      <c r="AB17" s="234"/>
      <c r="AC17" s="220"/>
      <c r="AD17" s="220"/>
      <c r="AE17" s="225"/>
      <c r="AF17" s="250"/>
      <c r="AG17" s="250"/>
      <c r="AH17" s="250"/>
      <c r="AI17" s="250"/>
      <c r="AJ17" s="250"/>
      <c r="AK17" s="250"/>
      <c r="AL17" s="150"/>
    </row>
    <row r="18" spans="2:38" x14ac:dyDescent="0.2">
      <c r="B18" s="214" t="s">
        <v>115</v>
      </c>
      <c r="C18" s="214" t="s">
        <v>119</v>
      </c>
      <c r="D18" s="232" t="s">
        <v>120</v>
      </c>
      <c r="E18" s="216" t="s">
        <v>83</v>
      </c>
      <c r="F18" s="216" t="s">
        <v>121</v>
      </c>
      <c r="G18" s="248">
        <v>0.28719135820000002</v>
      </c>
      <c r="H18" s="242">
        <f>(10228+10235)*(1000)</f>
        <v>20463000</v>
      </c>
      <c r="I18" s="220"/>
      <c r="J18" s="220"/>
      <c r="K18" s="218"/>
      <c r="L18" s="220"/>
      <c r="M18" s="234"/>
      <c r="N18" s="234"/>
      <c r="O18" s="234"/>
      <c r="P18" s="234"/>
      <c r="Q18" s="234"/>
      <c r="R18" s="234"/>
      <c r="S18" s="234"/>
      <c r="T18" s="234"/>
      <c r="U18" s="234"/>
      <c r="V18" s="220"/>
      <c r="W18" s="220"/>
      <c r="X18" s="220"/>
      <c r="Y18" s="234"/>
      <c r="Z18" s="220"/>
      <c r="AA18" s="220"/>
      <c r="AB18" s="234"/>
      <c r="AC18" s="220"/>
      <c r="AD18" s="220"/>
      <c r="AE18" s="234"/>
      <c r="AF18" s="250"/>
      <c r="AG18" s="250"/>
      <c r="AH18" s="250"/>
      <c r="AI18" s="250"/>
      <c r="AJ18" s="250"/>
      <c r="AK18" s="250"/>
      <c r="AL18" s="150"/>
    </row>
    <row r="19" spans="2:38" x14ac:dyDescent="0.2">
      <c r="B19" s="214" t="s">
        <v>115</v>
      </c>
      <c r="C19" s="214" t="s">
        <v>122</v>
      </c>
      <c r="D19" s="215" t="s">
        <v>123</v>
      </c>
      <c r="E19" s="216" t="s">
        <v>83</v>
      </c>
      <c r="F19" s="216" t="s">
        <v>110</v>
      </c>
      <c r="G19" s="248">
        <v>1.1998614888000001</v>
      </c>
      <c r="H19" s="242">
        <v>7914704</v>
      </c>
      <c r="I19" s="220"/>
      <c r="J19" s="218"/>
      <c r="K19" s="220"/>
      <c r="L19" s="220"/>
      <c r="M19" s="234"/>
      <c r="N19" s="234"/>
      <c r="O19" s="234"/>
      <c r="P19" s="234"/>
      <c r="Q19" s="234"/>
      <c r="R19" s="234"/>
      <c r="S19" s="234"/>
      <c r="T19" s="234"/>
      <c r="U19" s="234"/>
      <c r="V19" s="220"/>
      <c r="W19" s="220"/>
      <c r="X19" s="220"/>
      <c r="Y19" s="234"/>
      <c r="Z19" s="220"/>
      <c r="AA19" s="220"/>
      <c r="AB19" s="234"/>
      <c r="AC19" s="220"/>
      <c r="AD19" s="220"/>
      <c r="AE19" s="234"/>
      <c r="AF19" s="250"/>
      <c r="AG19" s="250"/>
      <c r="AH19" s="250"/>
      <c r="AI19" s="250"/>
      <c r="AJ19" s="250"/>
      <c r="AK19" s="250"/>
      <c r="AL19" s="150"/>
    </row>
    <row r="20" spans="2:38" x14ac:dyDescent="0.2">
      <c r="B20" s="214" t="s">
        <v>115</v>
      </c>
      <c r="C20" s="214" t="s">
        <v>124</v>
      </c>
      <c r="D20" s="232" t="s">
        <v>125</v>
      </c>
      <c r="E20" s="216" t="s">
        <v>66</v>
      </c>
      <c r="F20" s="216" t="s">
        <v>126</v>
      </c>
      <c r="G20" s="248">
        <v>4.0011203999999996E-3</v>
      </c>
      <c r="H20" s="242">
        <v>39808</v>
      </c>
      <c r="I20" s="220"/>
      <c r="J20" s="225"/>
      <c r="K20" s="218"/>
      <c r="L20" s="220"/>
      <c r="M20" s="234"/>
      <c r="N20" s="234"/>
      <c r="O20" s="234"/>
      <c r="P20" s="234"/>
      <c r="Q20" s="234"/>
      <c r="R20" s="234"/>
      <c r="S20" s="234"/>
      <c r="T20" s="234"/>
      <c r="U20" s="234"/>
      <c r="V20" s="220"/>
      <c r="W20" s="220"/>
      <c r="X20" s="220"/>
      <c r="Y20" s="234"/>
      <c r="Z20" s="220"/>
      <c r="AA20" s="220"/>
      <c r="AB20" s="234"/>
      <c r="AC20" s="220"/>
      <c r="AD20" s="220"/>
      <c r="AE20" s="234"/>
      <c r="AF20" s="250"/>
      <c r="AG20" s="250"/>
      <c r="AH20" s="250"/>
      <c r="AI20" s="250"/>
      <c r="AJ20" s="250"/>
      <c r="AK20" s="250"/>
      <c r="AL20" s="150"/>
    </row>
    <row r="21" spans="2:38" x14ac:dyDescent="0.2">
      <c r="B21" s="214" t="s">
        <v>115</v>
      </c>
      <c r="C21" s="214" t="s">
        <v>127</v>
      </c>
      <c r="D21" s="232" t="s">
        <v>128</v>
      </c>
      <c r="E21" s="216" t="s">
        <v>527</v>
      </c>
      <c r="F21" s="216" t="s">
        <v>110</v>
      </c>
      <c r="G21" s="248">
        <v>1.145548</v>
      </c>
      <c r="H21" s="242">
        <v>8144000</v>
      </c>
      <c r="I21" s="220"/>
      <c r="J21" s="234"/>
      <c r="K21" s="218"/>
      <c r="L21" s="220"/>
      <c r="M21" s="234"/>
      <c r="N21" s="234"/>
      <c r="O21" s="234"/>
      <c r="P21" s="234"/>
      <c r="Q21" s="234"/>
      <c r="R21" s="234"/>
      <c r="S21" s="234"/>
      <c r="T21" s="234"/>
      <c r="U21" s="234"/>
      <c r="V21" s="220"/>
      <c r="W21" s="220"/>
      <c r="X21" s="220"/>
      <c r="Y21" s="234"/>
      <c r="Z21" s="220"/>
      <c r="AA21" s="220"/>
      <c r="AB21" s="234"/>
      <c r="AC21" s="220"/>
      <c r="AD21" s="220"/>
      <c r="AE21" s="225"/>
      <c r="AF21" s="250"/>
      <c r="AG21" s="250"/>
      <c r="AH21" s="250"/>
      <c r="AI21" s="250"/>
      <c r="AJ21" s="250"/>
      <c r="AK21" s="250"/>
      <c r="AL21" s="150"/>
    </row>
    <row r="22" spans="2:38" x14ac:dyDescent="0.2">
      <c r="B22" s="214" t="s">
        <v>115</v>
      </c>
      <c r="C22" s="214" t="s">
        <v>127</v>
      </c>
      <c r="D22" s="232" t="s">
        <v>129</v>
      </c>
      <c r="E22" s="216" t="s">
        <v>83</v>
      </c>
      <c r="F22" s="216" t="s">
        <v>130</v>
      </c>
      <c r="G22" s="248">
        <v>0.2666666667</v>
      </c>
      <c r="H22" s="242">
        <v>25425000</v>
      </c>
      <c r="I22" s="220"/>
      <c r="J22" s="234"/>
      <c r="K22" s="218"/>
      <c r="L22" s="220"/>
      <c r="M22" s="234"/>
      <c r="N22" s="234"/>
      <c r="O22" s="234"/>
      <c r="P22" s="234"/>
      <c r="Q22" s="234"/>
      <c r="R22" s="234"/>
      <c r="S22" s="234"/>
      <c r="T22" s="234"/>
      <c r="U22" s="234"/>
      <c r="V22" s="220"/>
      <c r="W22" s="220"/>
      <c r="X22" s="220"/>
      <c r="Y22" s="234"/>
      <c r="Z22" s="220"/>
      <c r="AA22" s="220"/>
      <c r="AB22" s="234"/>
      <c r="AC22" s="220"/>
      <c r="AD22" s="220"/>
      <c r="AE22" s="234"/>
      <c r="AF22" s="250"/>
      <c r="AG22" s="250"/>
      <c r="AH22" s="250"/>
      <c r="AI22" s="250"/>
      <c r="AJ22" s="250"/>
      <c r="AK22" s="250"/>
      <c r="AL22" s="150"/>
    </row>
    <row r="23" spans="2:38" x14ac:dyDescent="0.2">
      <c r="B23" s="214" t="s">
        <v>115</v>
      </c>
      <c r="C23" s="214" t="s">
        <v>127</v>
      </c>
      <c r="D23" s="232" t="s">
        <v>131</v>
      </c>
      <c r="E23" s="216" t="s">
        <v>83</v>
      </c>
      <c r="F23" s="216" t="s">
        <v>130</v>
      </c>
      <c r="G23" s="248">
        <v>0.2666666667</v>
      </c>
      <c r="H23" s="242">
        <v>34000000</v>
      </c>
      <c r="I23" s="220"/>
      <c r="J23" s="234"/>
      <c r="K23" s="218"/>
      <c r="L23" s="220"/>
      <c r="M23" s="234"/>
      <c r="N23" s="234"/>
      <c r="O23" s="234"/>
      <c r="P23" s="234"/>
      <c r="Q23" s="234"/>
      <c r="R23" s="234"/>
      <c r="S23" s="234"/>
      <c r="T23" s="234"/>
      <c r="U23" s="234"/>
      <c r="V23" s="220"/>
      <c r="W23" s="220"/>
      <c r="X23" s="220"/>
      <c r="Y23" s="234"/>
      <c r="Z23" s="220"/>
      <c r="AA23" s="220"/>
      <c r="AB23" s="234"/>
      <c r="AC23" s="220"/>
      <c r="AD23" s="220"/>
      <c r="AE23" s="234"/>
      <c r="AF23" s="250"/>
      <c r="AG23" s="250"/>
      <c r="AH23" s="250"/>
      <c r="AI23" s="250"/>
      <c r="AJ23" s="250"/>
      <c r="AK23" s="250"/>
      <c r="AL23" s="150"/>
    </row>
    <row r="24" spans="2:38" x14ac:dyDescent="0.2">
      <c r="B24" s="214" t="s">
        <v>132</v>
      </c>
      <c r="C24" s="214" t="s">
        <v>133</v>
      </c>
      <c r="D24" s="215" t="s">
        <v>134</v>
      </c>
      <c r="E24" s="216" t="s">
        <v>135</v>
      </c>
      <c r="F24" s="216" t="s">
        <v>136</v>
      </c>
      <c r="G24" s="248">
        <v>1.5352355099999999E-2</v>
      </c>
      <c r="H24" s="242">
        <v>48500000</v>
      </c>
      <c r="I24" s="220"/>
      <c r="J24" s="218"/>
      <c r="K24" s="218"/>
      <c r="L24" s="220"/>
      <c r="M24" s="234"/>
      <c r="N24" s="234"/>
      <c r="O24" s="234"/>
      <c r="P24" s="234"/>
      <c r="Q24" s="234"/>
      <c r="R24" s="234"/>
      <c r="S24" s="234"/>
      <c r="T24" s="234"/>
      <c r="U24" s="234"/>
      <c r="V24" s="220"/>
      <c r="W24" s="220"/>
      <c r="X24" s="220"/>
      <c r="Y24" s="234"/>
      <c r="Z24" s="220"/>
      <c r="AA24" s="220"/>
      <c r="AB24" s="234"/>
      <c r="AC24" s="220"/>
      <c r="AD24" s="220"/>
      <c r="AE24" s="234"/>
      <c r="AF24" s="250"/>
      <c r="AG24" s="250"/>
      <c r="AH24" s="250"/>
      <c r="AI24" s="250"/>
      <c r="AJ24" s="250"/>
      <c r="AK24" s="250"/>
      <c r="AL24" s="150"/>
    </row>
    <row r="25" spans="2:38" x14ac:dyDescent="0.2">
      <c r="B25" s="214" t="s">
        <v>132</v>
      </c>
      <c r="C25" s="214" t="s">
        <v>133</v>
      </c>
      <c r="D25" s="215" t="s">
        <v>137</v>
      </c>
      <c r="E25" s="216" t="s">
        <v>138</v>
      </c>
      <c r="F25" s="216" t="s">
        <v>136</v>
      </c>
      <c r="G25" s="248">
        <v>1.5352355099999999E-2</v>
      </c>
      <c r="H25" s="242">
        <v>10200000</v>
      </c>
      <c r="I25" s="218"/>
      <c r="J25" s="218"/>
      <c r="K25" s="218"/>
      <c r="L25" s="218"/>
      <c r="M25" s="225"/>
      <c r="N25" s="225"/>
      <c r="O25" s="218"/>
      <c r="P25" s="218"/>
      <c r="Q25" s="234"/>
      <c r="R25" s="234"/>
      <c r="S25" s="234"/>
      <c r="T25" s="234"/>
      <c r="U25" s="234"/>
      <c r="V25" s="220"/>
      <c r="W25" s="218"/>
      <c r="X25" s="218"/>
      <c r="Y25" s="234"/>
      <c r="Z25" s="218"/>
      <c r="AA25" s="218"/>
      <c r="AB25" s="234"/>
      <c r="AC25" s="218"/>
      <c r="AD25" s="218"/>
      <c r="AE25" s="225"/>
      <c r="AF25" s="249"/>
      <c r="AG25" s="249"/>
      <c r="AH25" s="249"/>
      <c r="AI25" s="249"/>
      <c r="AJ25" s="249"/>
      <c r="AK25" s="249"/>
      <c r="AL25" s="150"/>
    </row>
    <row r="26" spans="2:38" x14ac:dyDescent="0.2">
      <c r="B26" s="214" t="s">
        <v>132</v>
      </c>
      <c r="C26" s="214" t="s">
        <v>133</v>
      </c>
      <c r="D26" s="215" t="s">
        <v>140</v>
      </c>
      <c r="E26" s="216" t="s">
        <v>135</v>
      </c>
      <c r="F26" s="216" t="s">
        <v>136</v>
      </c>
      <c r="G26" s="248">
        <v>1.5352355099999999E-2</v>
      </c>
      <c r="H26" s="242">
        <v>18200000</v>
      </c>
      <c r="I26" s="218"/>
      <c r="J26" s="225"/>
      <c r="K26" s="218"/>
      <c r="L26" s="218"/>
      <c r="M26" s="234"/>
      <c r="N26" s="234"/>
      <c r="O26" s="225"/>
      <c r="P26" s="225"/>
      <c r="Q26" s="225">
        <f>'Data in Local Currency'!Q26*'Data in Local Currency'!G26</f>
        <v>0</v>
      </c>
      <c r="R26" s="225">
        <f>'Data in Local Currency'!G26*'Data in Local Currency'!R26</f>
        <v>0</v>
      </c>
      <c r="S26" s="225">
        <f>'Data in Local Currency'!S26*'Data in Local Currency'!G26</f>
        <v>0</v>
      </c>
      <c r="T26" s="225">
        <f>'Data in Local Currency'!T26*'Data in Local Currency'!G26</f>
        <v>0</v>
      </c>
      <c r="U26" s="225"/>
      <c r="V26" s="218"/>
      <c r="W26" s="218"/>
      <c r="X26" s="218"/>
      <c r="Y26" s="234"/>
      <c r="Z26" s="218"/>
      <c r="AA26" s="218"/>
      <c r="AB26" s="234"/>
      <c r="AC26" s="218"/>
      <c r="AD26" s="218"/>
      <c r="AE26" s="225"/>
      <c r="AF26" s="249"/>
      <c r="AG26" s="249"/>
      <c r="AH26" s="249"/>
      <c r="AI26" s="249"/>
      <c r="AJ26" s="249"/>
      <c r="AK26" s="249"/>
      <c r="AL26" s="150"/>
    </row>
    <row r="27" spans="2:38" x14ac:dyDescent="0.2">
      <c r="B27" s="214" t="s">
        <v>132</v>
      </c>
      <c r="C27" s="214" t="s">
        <v>133</v>
      </c>
      <c r="D27" s="215" t="s">
        <v>141</v>
      </c>
      <c r="E27" s="216" t="s">
        <v>135</v>
      </c>
      <c r="F27" s="216" t="s">
        <v>136</v>
      </c>
      <c r="G27" s="248">
        <v>1.5351999999999999E-2</v>
      </c>
      <c r="H27" s="242">
        <v>308753400</v>
      </c>
      <c r="I27" s="220"/>
      <c r="J27" s="225"/>
      <c r="K27" s="218"/>
      <c r="L27" s="218"/>
      <c r="M27" s="234"/>
      <c r="N27" s="234"/>
      <c r="O27" s="218"/>
      <c r="P27" s="234"/>
      <c r="Q27" s="234"/>
      <c r="R27" s="234"/>
      <c r="S27" s="234"/>
      <c r="T27" s="234"/>
      <c r="U27" s="234"/>
      <c r="V27" s="220"/>
      <c r="W27" s="218"/>
      <c r="X27" s="218"/>
      <c r="Y27" s="234"/>
      <c r="Z27" s="218"/>
      <c r="AA27" s="218"/>
      <c r="AB27" s="218"/>
      <c r="AC27" s="218"/>
      <c r="AD27" s="218"/>
      <c r="AE27" s="225"/>
      <c r="AF27" s="249"/>
      <c r="AG27" s="249"/>
      <c r="AH27" s="249"/>
      <c r="AI27" s="249"/>
      <c r="AJ27" s="249"/>
      <c r="AK27" s="249"/>
      <c r="AL27" s="150"/>
    </row>
    <row r="28" spans="2:38" x14ac:dyDescent="0.2">
      <c r="B28" s="214" t="s">
        <v>132</v>
      </c>
      <c r="C28" s="214" t="s">
        <v>133</v>
      </c>
      <c r="D28" s="215" t="s">
        <v>142</v>
      </c>
      <c r="E28" s="216" t="s">
        <v>135</v>
      </c>
      <c r="F28" s="216" t="s">
        <v>136</v>
      </c>
      <c r="G28" s="248">
        <v>1.5351999999999999E-2</v>
      </c>
      <c r="H28" s="242">
        <f>2097698/101.9%</f>
        <v>2058584.8871442587</v>
      </c>
      <c r="I28" s="220"/>
      <c r="J28" s="225"/>
      <c r="K28" s="218"/>
      <c r="L28" s="218"/>
      <c r="M28" s="225"/>
      <c r="N28" s="234"/>
      <c r="O28" s="225"/>
      <c r="P28" s="234"/>
      <c r="Q28" s="234"/>
      <c r="R28" s="234"/>
      <c r="S28" s="234"/>
      <c r="T28" s="234"/>
      <c r="U28" s="234"/>
      <c r="V28" s="218"/>
      <c r="W28" s="218"/>
      <c r="X28" s="218"/>
      <c r="Y28" s="234"/>
      <c r="Z28" s="218"/>
      <c r="AA28" s="218"/>
      <c r="AB28" s="234"/>
      <c r="AC28" s="218"/>
      <c r="AD28" s="218"/>
      <c r="AE28" s="225"/>
      <c r="AF28" s="249"/>
      <c r="AG28" s="249"/>
      <c r="AH28" s="249"/>
      <c r="AI28" s="249"/>
      <c r="AJ28" s="249"/>
      <c r="AK28" s="249"/>
      <c r="AL28" s="150"/>
    </row>
    <row r="29" spans="2:38" ht="17.25" customHeight="1" x14ac:dyDescent="0.2">
      <c r="B29" s="214" t="s">
        <v>132</v>
      </c>
      <c r="C29" s="214" t="s">
        <v>133</v>
      </c>
      <c r="D29" s="215" t="s">
        <v>143</v>
      </c>
      <c r="E29" s="216" t="s">
        <v>529</v>
      </c>
      <c r="F29" s="216" t="s">
        <v>136</v>
      </c>
      <c r="G29" s="248">
        <v>1.5352355099999999E-2</v>
      </c>
      <c r="H29" s="242">
        <v>65700000</v>
      </c>
      <c r="I29" s="218"/>
      <c r="J29" s="225"/>
      <c r="K29" s="218"/>
      <c r="L29" s="218"/>
      <c r="M29" s="234"/>
      <c r="N29" s="234"/>
      <c r="O29" s="225"/>
      <c r="P29" s="225"/>
      <c r="Q29" s="225">
        <f>'Data in Local Currency'!Q29*'Data in Local Currency'!G29</f>
        <v>0</v>
      </c>
      <c r="R29" s="225">
        <f>'Data in Local Currency'!G29*'Data in Local Currency'!R29</f>
        <v>0</v>
      </c>
      <c r="S29" s="225">
        <f>'Data in Local Currency'!S29*'Data in Local Currency'!G29</f>
        <v>0</v>
      </c>
      <c r="T29" s="225">
        <f>'Data in Local Currency'!T29*'Data in Local Currency'!G29</f>
        <v>0</v>
      </c>
      <c r="U29" s="234"/>
      <c r="V29" s="218"/>
      <c r="W29" s="218"/>
      <c r="X29" s="218"/>
      <c r="Y29" s="234"/>
      <c r="Z29" s="218"/>
      <c r="AA29" s="218"/>
      <c r="AB29" s="234"/>
      <c r="AC29" s="218"/>
      <c r="AD29" s="218"/>
      <c r="AE29" s="225"/>
      <c r="AF29" s="249"/>
      <c r="AG29" s="249"/>
      <c r="AH29" s="249"/>
      <c r="AI29" s="249"/>
      <c r="AJ29" s="249"/>
      <c r="AK29" s="249"/>
      <c r="AL29" s="150"/>
    </row>
    <row r="30" spans="2:38" x14ac:dyDescent="0.2">
      <c r="B30" s="214" t="s">
        <v>132</v>
      </c>
      <c r="C30" s="214" t="s">
        <v>133</v>
      </c>
      <c r="D30" s="215" t="s">
        <v>145</v>
      </c>
      <c r="E30" s="216" t="s">
        <v>91</v>
      </c>
      <c r="F30" s="216" t="s">
        <v>136</v>
      </c>
      <c r="G30" s="248">
        <v>1.5417999999999999E-2</v>
      </c>
      <c r="H30" s="242">
        <v>22881410</v>
      </c>
      <c r="I30" s="220"/>
      <c r="J30" s="218"/>
      <c r="K30" s="218"/>
      <c r="L30" s="218"/>
      <c r="M30" s="234"/>
      <c r="N30" s="225"/>
      <c r="O30" s="225"/>
      <c r="P30" s="234"/>
      <c r="Q30" s="234"/>
      <c r="R30" s="234"/>
      <c r="S30" s="234"/>
      <c r="T30" s="234"/>
      <c r="U30" s="234"/>
      <c r="V30" s="218"/>
      <c r="W30" s="218"/>
      <c r="X30" s="218"/>
      <c r="Y30" s="234"/>
      <c r="Z30" s="218"/>
      <c r="AA30" s="218"/>
      <c r="AB30" s="234"/>
      <c r="AC30" s="218"/>
      <c r="AD30" s="218"/>
      <c r="AE30" s="225"/>
      <c r="AF30" s="249"/>
      <c r="AG30" s="249"/>
      <c r="AH30" s="249"/>
      <c r="AI30" s="249"/>
      <c r="AJ30" s="249"/>
      <c r="AK30" s="249"/>
      <c r="AL30" s="150"/>
    </row>
    <row r="31" spans="2:38" x14ac:dyDescent="0.2">
      <c r="B31" s="214" t="s">
        <v>132</v>
      </c>
      <c r="C31" s="214" t="s">
        <v>146</v>
      </c>
      <c r="D31" s="232" t="s">
        <v>147</v>
      </c>
      <c r="E31" s="216" t="s">
        <v>148</v>
      </c>
      <c r="F31" s="216" t="s">
        <v>149</v>
      </c>
      <c r="G31" s="248" t="s">
        <v>6</v>
      </c>
      <c r="H31" s="242">
        <v>3150000</v>
      </c>
      <c r="I31" s="220"/>
      <c r="J31" s="234"/>
      <c r="K31" s="218"/>
      <c r="L31" s="220"/>
      <c r="M31" s="234"/>
      <c r="N31" s="234"/>
      <c r="O31" s="234"/>
      <c r="P31" s="234"/>
      <c r="Q31" s="234"/>
      <c r="R31" s="234"/>
      <c r="S31" s="234"/>
      <c r="T31" s="234"/>
      <c r="U31" s="234"/>
      <c r="V31" s="220"/>
      <c r="W31" s="218"/>
      <c r="X31" s="220"/>
      <c r="Y31" s="234"/>
      <c r="Z31" s="220"/>
      <c r="AA31" s="220"/>
      <c r="AB31" s="234"/>
      <c r="AC31" s="220"/>
      <c r="AD31" s="218"/>
      <c r="AE31" s="234"/>
      <c r="AF31" s="250"/>
      <c r="AG31" s="250"/>
      <c r="AH31" s="250"/>
      <c r="AI31" s="250"/>
      <c r="AJ31" s="250"/>
      <c r="AK31" s="250"/>
      <c r="AL31" s="150"/>
    </row>
    <row r="32" spans="2:38" x14ac:dyDescent="0.2">
      <c r="B32" s="214" t="s">
        <v>132</v>
      </c>
      <c r="C32" s="214" t="s">
        <v>150</v>
      </c>
      <c r="D32" s="215" t="s">
        <v>151</v>
      </c>
      <c r="E32" s="216" t="s">
        <v>527</v>
      </c>
      <c r="F32" s="216" t="s">
        <v>152</v>
      </c>
      <c r="G32" s="248">
        <v>5.4679999999999998E-3</v>
      </c>
      <c r="H32" s="242">
        <v>10880000</v>
      </c>
      <c r="I32" s="220"/>
      <c r="J32" s="225"/>
      <c r="K32" s="218"/>
      <c r="L32" s="218"/>
      <c r="M32" s="234"/>
      <c r="N32" s="225"/>
      <c r="O32" s="225"/>
      <c r="P32" s="234"/>
      <c r="Q32" s="234"/>
      <c r="R32" s="234"/>
      <c r="S32" s="234"/>
      <c r="T32" s="234"/>
      <c r="U32" s="234"/>
      <c r="V32" s="218"/>
      <c r="W32" s="218"/>
      <c r="X32" s="218"/>
      <c r="Y32" s="234"/>
      <c r="Z32" s="218"/>
      <c r="AA32" s="218"/>
      <c r="AB32" s="225"/>
      <c r="AC32" s="218"/>
      <c r="AD32" s="218"/>
      <c r="AE32" s="225"/>
      <c r="AF32" s="249"/>
      <c r="AG32" s="249"/>
      <c r="AH32" s="249"/>
      <c r="AI32" s="249"/>
      <c r="AJ32" s="249"/>
      <c r="AK32" s="249"/>
      <c r="AL32" s="150"/>
    </row>
    <row r="33" spans="2:38" x14ac:dyDescent="0.2">
      <c r="B33" s="214" t="s">
        <v>153</v>
      </c>
      <c r="C33" s="214" t="s">
        <v>154</v>
      </c>
      <c r="D33" s="215" t="s">
        <v>155</v>
      </c>
      <c r="E33" s="216" t="s">
        <v>527</v>
      </c>
      <c r="F33" s="216" t="s">
        <v>156</v>
      </c>
      <c r="G33" s="251">
        <v>6.9999999999999994E-5</v>
      </c>
      <c r="H33" s="242">
        <v>96652313</v>
      </c>
      <c r="I33" s="220"/>
      <c r="J33" s="225"/>
      <c r="K33" s="218"/>
      <c r="L33" s="218"/>
      <c r="M33" s="225"/>
      <c r="N33" s="225"/>
      <c r="O33" s="225"/>
      <c r="P33" s="234"/>
      <c r="Q33" s="234"/>
      <c r="R33" s="234"/>
      <c r="S33" s="234"/>
      <c r="T33" s="234"/>
      <c r="U33" s="225"/>
      <c r="V33" s="218"/>
      <c r="W33" s="218"/>
      <c r="X33" s="218"/>
      <c r="Y33" s="234"/>
      <c r="Z33" s="218"/>
      <c r="AA33" s="218"/>
      <c r="AB33" s="225"/>
      <c r="AC33" s="218"/>
      <c r="AD33" s="218"/>
      <c r="AE33" s="225"/>
      <c r="AF33" s="249"/>
      <c r="AG33" s="249"/>
      <c r="AH33" s="249"/>
      <c r="AI33" s="249"/>
      <c r="AJ33" s="249"/>
      <c r="AK33" s="249"/>
      <c r="AL33" s="150"/>
    </row>
    <row r="34" spans="2:38" x14ac:dyDescent="0.2">
      <c r="B34" s="214" t="s">
        <v>153</v>
      </c>
      <c r="C34" s="214" t="s">
        <v>154</v>
      </c>
      <c r="D34" s="215" t="s">
        <v>157</v>
      </c>
      <c r="E34" s="216" t="s">
        <v>527</v>
      </c>
      <c r="F34" s="216" t="s">
        <v>156</v>
      </c>
      <c r="G34" s="251">
        <v>6.9999999999999994E-5</v>
      </c>
      <c r="H34" s="242">
        <v>111454000</v>
      </c>
      <c r="I34" s="220"/>
      <c r="J34" s="225"/>
      <c r="K34" s="218"/>
      <c r="L34" s="218"/>
      <c r="M34" s="225"/>
      <c r="N34" s="225"/>
      <c r="O34" s="225"/>
      <c r="P34" s="234"/>
      <c r="Q34" s="234"/>
      <c r="R34" s="234"/>
      <c r="S34" s="234"/>
      <c r="T34" s="234"/>
      <c r="U34" s="225"/>
      <c r="V34" s="218"/>
      <c r="W34" s="218"/>
      <c r="X34" s="220"/>
      <c r="Y34" s="234"/>
      <c r="Z34" s="220"/>
      <c r="AA34" s="218"/>
      <c r="AB34" s="225"/>
      <c r="AC34" s="220"/>
      <c r="AD34" s="218"/>
      <c r="AE34" s="225"/>
      <c r="AF34" s="249"/>
      <c r="AG34" s="249"/>
      <c r="AH34" s="249"/>
      <c r="AI34" s="249"/>
      <c r="AJ34" s="249"/>
      <c r="AK34" s="249"/>
      <c r="AL34" s="150"/>
    </row>
    <row r="35" spans="2:38" x14ac:dyDescent="0.2">
      <c r="B35" s="214" t="s">
        <v>153</v>
      </c>
      <c r="C35" s="214" t="s">
        <v>154</v>
      </c>
      <c r="D35" s="232" t="s">
        <v>158</v>
      </c>
      <c r="E35" s="216" t="s">
        <v>66</v>
      </c>
      <c r="F35" s="216" t="s">
        <v>156</v>
      </c>
      <c r="G35" s="252">
        <v>7.4076800000000002E-5</v>
      </c>
      <c r="H35" s="242">
        <v>6100000</v>
      </c>
      <c r="I35" s="220"/>
      <c r="J35" s="225"/>
      <c r="K35" s="218"/>
      <c r="L35" s="220"/>
      <c r="M35" s="234"/>
      <c r="N35" s="234"/>
      <c r="O35" s="234"/>
      <c r="P35" s="234"/>
      <c r="Q35" s="234"/>
      <c r="R35" s="234"/>
      <c r="S35" s="234"/>
      <c r="T35" s="234"/>
      <c r="U35" s="234"/>
      <c r="V35" s="220"/>
      <c r="W35" s="220"/>
      <c r="X35" s="220"/>
      <c r="Y35" s="234"/>
      <c r="Z35" s="220"/>
      <c r="AA35" s="220"/>
      <c r="AB35" s="234"/>
      <c r="AC35" s="220"/>
      <c r="AD35" s="220"/>
      <c r="AE35" s="234"/>
      <c r="AF35" s="250"/>
      <c r="AG35" s="250"/>
      <c r="AH35" s="250"/>
      <c r="AI35" s="250"/>
      <c r="AJ35" s="250"/>
      <c r="AK35" s="250"/>
      <c r="AL35" s="150"/>
    </row>
    <row r="36" spans="2:38" x14ac:dyDescent="0.2">
      <c r="B36" s="214" t="s">
        <v>153</v>
      </c>
      <c r="C36" s="214" t="s">
        <v>159</v>
      </c>
      <c r="D36" s="215" t="s">
        <v>160</v>
      </c>
      <c r="E36" s="216" t="s">
        <v>528</v>
      </c>
      <c r="F36" s="216" t="s">
        <v>161</v>
      </c>
      <c r="G36" s="248">
        <v>3.0941E-2</v>
      </c>
      <c r="H36" s="242">
        <v>139518488</v>
      </c>
      <c r="I36" s="220"/>
      <c r="J36" s="225"/>
      <c r="K36" s="218"/>
      <c r="L36" s="218"/>
      <c r="M36" s="225"/>
      <c r="N36" s="225"/>
      <c r="O36" s="225"/>
      <c r="P36" s="234"/>
      <c r="Q36" s="234"/>
      <c r="R36" s="234"/>
      <c r="S36" s="234"/>
      <c r="T36" s="234"/>
      <c r="U36" s="234"/>
      <c r="V36" s="220"/>
      <c r="W36" s="218"/>
      <c r="X36" s="218"/>
      <c r="Y36" s="234"/>
      <c r="Z36" s="218"/>
      <c r="AA36" s="218"/>
      <c r="AB36" s="225"/>
      <c r="AC36" s="218"/>
      <c r="AD36" s="218"/>
      <c r="AE36" s="225"/>
      <c r="AF36" s="249"/>
      <c r="AG36" s="249"/>
      <c r="AH36" s="249"/>
      <c r="AI36" s="249"/>
      <c r="AJ36" s="249"/>
      <c r="AK36" s="249"/>
      <c r="AL36" s="168"/>
    </row>
    <row r="37" spans="2:38" x14ac:dyDescent="0.2">
      <c r="B37" s="214" t="s">
        <v>153</v>
      </c>
      <c r="C37" s="214" t="s">
        <v>159</v>
      </c>
      <c r="D37" s="232" t="s">
        <v>163</v>
      </c>
      <c r="E37" s="216" t="s">
        <v>527</v>
      </c>
      <c r="F37" s="216" t="s">
        <v>161</v>
      </c>
      <c r="G37" s="248">
        <v>3.0941E-2</v>
      </c>
      <c r="H37" s="242">
        <f>(2600+96+84)*1000</f>
        <v>2780000</v>
      </c>
      <c r="I37" s="220"/>
      <c r="J37" s="234"/>
      <c r="K37" s="218"/>
      <c r="L37" s="220" t="s">
        <v>6</v>
      </c>
      <c r="M37" s="225"/>
      <c r="N37" s="234"/>
      <c r="O37" s="234"/>
      <c r="P37" s="234"/>
      <c r="Q37" s="234"/>
      <c r="R37" s="234"/>
      <c r="S37" s="234"/>
      <c r="T37" s="234"/>
      <c r="U37" s="234"/>
      <c r="V37" s="220"/>
      <c r="W37" s="220"/>
      <c r="X37" s="220"/>
      <c r="Y37" s="234"/>
      <c r="Z37" s="220"/>
      <c r="AA37" s="220"/>
      <c r="AB37" s="234"/>
      <c r="AC37" s="220"/>
      <c r="AD37" s="220"/>
      <c r="AE37" s="234"/>
      <c r="AF37" s="250"/>
      <c r="AG37" s="250"/>
      <c r="AH37" s="250"/>
      <c r="AI37" s="250"/>
      <c r="AJ37" s="250"/>
      <c r="AK37" s="250"/>
      <c r="AL37" s="168"/>
    </row>
    <row r="38" spans="2:38" x14ac:dyDescent="0.2">
      <c r="B38" s="214" t="s">
        <v>153</v>
      </c>
      <c r="C38" s="214" t="s">
        <v>164</v>
      </c>
      <c r="D38" s="232" t="s">
        <v>165</v>
      </c>
      <c r="E38" s="216" t="s">
        <v>527</v>
      </c>
      <c r="F38" s="216" t="s">
        <v>110</v>
      </c>
      <c r="G38" s="248">
        <v>1.145548</v>
      </c>
      <c r="H38" s="242">
        <v>10554000</v>
      </c>
      <c r="I38" s="220"/>
      <c r="J38" s="234"/>
      <c r="K38" s="218"/>
      <c r="L38" s="220"/>
      <c r="M38" s="234"/>
      <c r="N38" s="234"/>
      <c r="O38" s="234"/>
      <c r="P38" s="234"/>
      <c r="Q38" s="234"/>
      <c r="R38" s="234"/>
      <c r="S38" s="234"/>
      <c r="T38" s="234"/>
      <c r="U38" s="234"/>
      <c r="V38" s="220"/>
      <c r="W38" s="220"/>
      <c r="X38" s="220"/>
      <c r="Y38" s="234"/>
      <c r="Z38" s="220"/>
      <c r="AA38" s="220"/>
      <c r="AB38" s="234"/>
      <c r="AC38" s="220"/>
      <c r="AD38" s="220"/>
      <c r="AE38" s="234"/>
      <c r="AF38" s="250"/>
      <c r="AG38" s="250"/>
      <c r="AH38" s="250"/>
      <c r="AI38" s="250"/>
      <c r="AJ38" s="250"/>
      <c r="AK38" s="250"/>
      <c r="AL38" s="150"/>
    </row>
    <row r="39" spans="2:38" x14ac:dyDescent="0.2">
      <c r="B39" s="214" t="s">
        <v>153</v>
      </c>
      <c r="C39" s="214" t="s">
        <v>166</v>
      </c>
      <c r="D39" s="215" t="s">
        <v>167</v>
      </c>
      <c r="E39" s="216" t="s">
        <v>527</v>
      </c>
      <c r="F39" s="216" t="s">
        <v>168</v>
      </c>
      <c r="G39" s="248">
        <v>1.9050999999999998E-2</v>
      </c>
      <c r="H39" s="242">
        <v>11500000</v>
      </c>
      <c r="I39" s="220"/>
      <c r="J39" s="225"/>
      <c r="K39" s="218"/>
      <c r="L39" s="218"/>
      <c r="M39" s="225"/>
      <c r="N39" s="234"/>
      <c r="O39" s="225"/>
      <c r="P39" s="234"/>
      <c r="Q39" s="234"/>
      <c r="R39" s="234"/>
      <c r="S39" s="234"/>
      <c r="T39" s="234"/>
      <c r="U39" s="234"/>
      <c r="V39" s="220"/>
      <c r="W39" s="220"/>
      <c r="X39" s="220"/>
      <c r="Y39" s="234"/>
      <c r="Z39" s="220"/>
      <c r="AA39" s="220"/>
      <c r="AB39" s="234"/>
      <c r="AC39" s="220"/>
      <c r="AD39" s="220"/>
      <c r="AE39" s="225"/>
      <c r="AF39" s="250"/>
      <c r="AG39" s="250"/>
      <c r="AH39" s="250"/>
      <c r="AI39" s="250"/>
      <c r="AJ39" s="250"/>
      <c r="AK39" s="250"/>
      <c r="AL39" s="150"/>
    </row>
    <row r="40" spans="2:38" x14ac:dyDescent="0.2">
      <c r="B40" s="214" t="s">
        <v>153</v>
      </c>
      <c r="C40" s="214" t="s">
        <v>166</v>
      </c>
      <c r="D40" s="232" t="s">
        <v>169</v>
      </c>
      <c r="E40" s="216" t="s">
        <v>527</v>
      </c>
      <c r="F40" s="216" t="s">
        <v>168</v>
      </c>
      <c r="G40" s="248">
        <v>1.9050999999999998E-2</v>
      </c>
      <c r="H40" s="245">
        <v>45082544</v>
      </c>
      <c r="I40" s="220"/>
      <c r="J40" s="234"/>
      <c r="K40" s="218"/>
      <c r="L40" s="218"/>
      <c r="M40" s="234"/>
      <c r="N40" s="225"/>
      <c r="O40" s="225"/>
      <c r="P40" s="234"/>
      <c r="Q40" s="234"/>
      <c r="R40" s="234"/>
      <c r="S40" s="234"/>
      <c r="T40" s="234"/>
      <c r="U40" s="234"/>
      <c r="V40" s="218"/>
      <c r="W40" s="218"/>
      <c r="X40" s="218"/>
      <c r="Y40" s="234"/>
      <c r="Z40" s="218"/>
      <c r="AA40" s="218"/>
      <c r="AB40" s="234"/>
      <c r="AC40" s="218"/>
      <c r="AD40" s="218"/>
      <c r="AE40" s="225"/>
      <c r="AF40" s="249"/>
      <c r="AG40" s="249"/>
      <c r="AH40" s="249"/>
      <c r="AI40" s="249"/>
      <c r="AJ40" s="249"/>
      <c r="AK40" s="249"/>
      <c r="AL40" s="150"/>
    </row>
    <row r="41" spans="2:38" x14ac:dyDescent="0.2">
      <c r="B41" s="214" t="s">
        <v>153</v>
      </c>
      <c r="C41" s="214" t="s">
        <v>166</v>
      </c>
      <c r="D41" s="215" t="s">
        <v>170</v>
      </c>
      <c r="E41" s="216" t="s">
        <v>83</v>
      </c>
      <c r="F41" s="216" t="s">
        <v>168</v>
      </c>
      <c r="G41" s="248">
        <v>1.9982162800000002E-2</v>
      </c>
      <c r="H41" s="242">
        <f>1083188+431343</f>
        <v>1514531</v>
      </c>
      <c r="I41" s="220"/>
      <c r="J41" s="225"/>
      <c r="K41" s="218"/>
      <c r="L41" s="218"/>
      <c r="M41" s="234"/>
      <c r="N41" s="225"/>
      <c r="O41" s="225"/>
      <c r="P41" s="234"/>
      <c r="Q41" s="234"/>
      <c r="R41" s="234"/>
      <c r="S41" s="234"/>
      <c r="T41" s="234"/>
      <c r="U41" s="225"/>
      <c r="V41" s="218"/>
      <c r="W41" s="218"/>
      <c r="X41" s="220"/>
      <c r="Y41" s="234"/>
      <c r="Z41" s="218"/>
      <c r="AA41" s="218"/>
      <c r="AB41" s="234"/>
      <c r="AC41" s="220"/>
      <c r="AD41" s="218"/>
      <c r="AE41" s="225"/>
      <c r="AF41" s="249"/>
      <c r="AG41" s="249"/>
      <c r="AH41" s="249"/>
      <c r="AI41" s="249"/>
      <c r="AJ41" s="249"/>
      <c r="AK41" s="249"/>
      <c r="AL41" s="150"/>
    </row>
    <row r="42" spans="2:38" ht="17.25" customHeight="1" x14ac:dyDescent="0.2">
      <c r="B42" s="214" t="s">
        <v>153</v>
      </c>
      <c r="C42" s="214" t="s">
        <v>171</v>
      </c>
      <c r="D42" s="243" t="s">
        <v>172</v>
      </c>
      <c r="E42" s="216" t="s">
        <v>527</v>
      </c>
      <c r="F42" s="216" t="s">
        <v>173</v>
      </c>
      <c r="G42" s="248">
        <v>0.24195</v>
      </c>
      <c r="H42" s="242">
        <v>96600000</v>
      </c>
      <c r="I42" s="220"/>
      <c r="J42" s="234"/>
      <c r="K42" s="218"/>
      <c r="L42" s="218"/>
      <c r="M42" s="225"/>
      <c r="N42" s="225"/>
      <c r="O42" s="225"/>
      <c r="P42" s="234"/>
      <c r="Q42" s="234"/>
      <c r="R42" s="234"/>
      <c r="S42" s="234"/>
      <c r="T42" s="225">
        <f>'Data in Local Currency'!T42*'Data in Local Currency'!G42</f>
        <v>0</v>
      </c>
      <c r="U42" s="234"/>
      <c r="V42" s="218"/>
      <c r="W42" s="218"/>
      <c r="X42" s="218"/>
      <c r="Y42" s="234"/>
      <c r="Z42" s="218"/>
      <c r="AA42" s="218"/>
      <c r="AB42" s="234"/>
      <c r="AC42" s="218"/>
      <c r="AD42" s="218"/>
      <c r="AE42" s="225"/>
      <c r="AF42" s="250"/>
      <c r="AG42" s="250"/>
      <c r="AH42" s="250"/>
      <c r="AI42" s="250"/>
      <c r="AJ42" s="250"/>
      <c r="AK42" s="250"/>
      <c r="AL42" s="150"/>
    </row>
    <row r="43" spans="2:38" x14ac:dyDescent="0.2">
      <c r="B43" s="214" t="s">
        <v>153</v>
      </c>
      <c r="C43" s="214" t="s">
        <v>171</v>
      </c>
      <c r="D43" s="215" t="s">
        <v>174</v>
      </c>
      <c r="E43" s="216" t="s">
        <v>83</v>
      </c>
      <c r="F43" s="216" t="s">
        <v>173</v>
      </c>
      <c r="G43" s="248">
        <v>0.24712689509999999</v>
      </c>
      <c r="H43" s="242">
        <v>58500000</v>
      </c>
      <c r="I43" s="220"/>
      <c r="J43" s="225"/>
      <c r="K43" s="220"/>
      <c r="L43" s="220"/>
      <c r="M43" s="234"/>
      <c r="N43" s="234"/>
      <c r="O43" s="234"/>
      <c r="P43" s="234"/>
      <c r="Q43" s="234"/>
      <c r="R43" s="234"/>
      <c r="S43" s="234"/>
      <c r="T43" s="225">
        <f>'Data in Local Currency'!T43*'Data in Local Currency'!G43</f>
        <v>0</v>
      </c>
      <c r="U43" s="234"/>
      <c r="V43" s="220"/>
      <c r="W43" s="220"/>
      <c r="X43" s="220"/>
      <c r="Y43" s="234"/>
      <c r="Z43" s="220"/>
      <c r="AA43" s="220"/>
      <c r="AB43" s="234"/>
      <c r="AC43" s="220"/>
      <c r="AD43" s="220"/>
      <c r="AE43" s="234"/>
      <c r="AF43" s="250"/>
      <c r="AG43" s="250"/>
      <c r="AH43" s="250"/>
      <c r="AI43" s="250"/>
      <c r="AJ43" s="250"/>
      <c r="AK43" s="250"/>
      <c r="AL43" s="150"/>
    </row>
    <row r="44" spans="2:38" x14ac:dyDescent="0.2">
      <c r="B44" s="214" t="s">
        <v>153</v>
      </c>
      <c r="C44" s="214" t="s">
        <v>171</v>
      </c>
      <c r="D44" s="232" t="s">
        <v>175</v>
      </c>
      <c r="E44" s="216" t="s">
        <v>527</v>
      </c>
      <c r="F44" s="216" t="s">
        <v>173</v>
      </c>
      <c r="G44" s="248">
        <v>0.24712689509999999</v>
      </c>
      <c r="H44" s="242">
        <v>3500000</v>
      </c>
      <c r="I44" s="220"/>
      <c r="J44" s="234"/>
      <c r="K44" s="218"/>
      <c r="L44" s="218"/>
      <c r="M44" s="234"/>
      <c r="N44" s="234"/>
      <c r="O44" s="225"/>
      <c r="P44" s="234"/>
      <c r="Q44" s="234"/>
      <c r="R44" s="234"/>
      <c r="S44" s="234"/>
      <c r="T44" s="234"/>
      <c r="U44" s="234"/>
      <c r="V44" s="220"/>
      <c r="W44" s="220"/>
      <c r="X44" s="220"/>
      <c r="Y44" s="234"/>
      <c r="Z44" s="220"/>
      <c r="AA44" s="220"/>
      <c r="AB44" s="234"/>
      <c r="AC44" s="220"/>
      <c r="AD44" s="220"/>
      <c r="AE44" s="234"/>
      <c r="AF44" s="250"/>
      <c r="AG44" s="250"/>
      <c r="AH44" s="250"/>
      <c r="AI44" s="250"/>
      <c r="AJ44" s="250"/>
      <c r="AK44" s="250"/>
      <c r="AL44" s="150"/>
    </row>
    <row r="45" spans="2:38" x14ac:dyDescent="0.2">
      <c r="B45" s="214" t="s">
        <v>153</v>
      </c>
      <c r="C45" s="214" t="s">
        <v>176</v>
      </c>
      <c r="D45" s="215" t="s">
        <v>177</v>
      </c>
      <c r="E45" s="216" t="s">
        <v>527</v>
      </c>
      <c r="F45" s="216" t="s">
        <v>178</v>
      </c>
      <c r="G45" s="253">
        <v>4.3000000000000002E-5</v>
      </c>
      <c r="H45" s="242">
        <v>94100000</v>
      </c>
      <c r="I45" s="220"/>
      <c r="J45" s="234"/>
      <c r="K45" s="218"/>
      <c r="L45" s="218"/>
      <c r="M45" s="234"/>
      <c r="N45" s="234"/>
      <c r="O45" s="225"/>
      <c r="P45" s="234"/>
      <c r="Q45" s="234"/>
      <c r="R45" s="234"/>
      <c r="S45" s="234"/>
      <c r="T45" s="234"/>
      <c r="U45" s="225"/>
      <c r="V45" s="220"/>
      <c r="W45" s="218"/>
      <c r="X45" s="218"/>
      <c r="Y45" s="234"/>
      <c r="Z45" s="218"/>
      <c r="AA45" s="218"/>
      <c r="AB45" s="225"/>
      <c r="AC45" s="218"/>
      <c r="AD45" s="218"/>
      <c r="AE45" s="225"/>
      <c r="AF45" s="249"/>
      <c r="AG45" s="249"/>
      <c r="AH45" s="249"/>
      <c r="AI45" s="249"/>
      <c r="AJ45" s="249"/>
      <c r="AK45" s="249"/>
      <c r="AL45" s="169"/>
    </row>
    <row r="46" spans="2:38" x14ac:dyDescent="0.2">
      <c r="B46" s="214" t="s">
        <v>153</v>
      </c>
      <c r="C46" s="214" t="s">
        <v>179</v>
      </c>
      <c r="D46" s="215" t="s">
        <v>1025</v>
      </c>
      <c r="E46" s="216" t="s">
        <v>135</v>
      </c>
      <c r="F46" s="216" t="s">
        <v>181</v>
      </c>
      <c r="G46" s="248">
        <v>0.7627306479</v>
      </c>
      <c r="H46" s="242">
        <v>62972068</v>
      </c>
      <c r="I46" s="220"/>
      <c r="J46" s="225"/>
      <c r="K46" s="218"/>
      <c r="L46" s="218"/>
      <c r="M46" s="234"/>
      <c r="N46" s="234"/>
      <c r="O46" s="225"/>
      <c r="P46" s="234"/>
      <c r="Q46" s="234"/>
      <c r="R46" s="234"/>
      <c r="S46" s="234"/>
      <c r="T46" s="254"/>
      <c r="U46" s="234"/>
      <c r="V46" s="220"/>
      <c r="W46" s="218"/>
      <c r="X46" s="218"/>
      <c r="Y46" s="234"/>
      <c r="Z46" s="218"/>
      <c r="AA46" s="218"/>
      <c r="AB46" s="225"/>
      <c r="AC46" s="218"/>
      <c r="AD46" s="218"/>
      <c r="AE46" s="225"/>
      <c r="AF46" s="249"/>
      <c r="AG46" s="249"/>
      <c r="AH46" s="249"/>
      <c r="AI46" s="249"/>
      <c r="AJ46" s="249"/>
      <c r="AK46" s="249"/>
      <c r="AL46" s="169"/>
    </row>
    <row r="47" spans="2:38" x14ac:dyDescent="0.2">
      <c r="B47" s="214" t="s">
        <v>182</v>
      </c>
      <c r="C47" s="214" t="s">
        <v>183</v>
      </c>
      <c r="D47" s="215" t="s">
        <v>184</v>
      </c>
      <c r="E47" s="216" t="s">
        <v>527</v>
      </c>
      <c r="F47" s="216" t="s">
        <v>185</v>
      </c>
      <c r="G47" s="248">
        <v>0.14538400000000001</v>
      </c>
      <c r="H47" s="242">
        <f>6758.56*10000</f>
        <v>67585600</v>
      </c>
      <c r="I47" s="220"/>
      <c r="J47" s="225"/>
      <c r="K47" s="218"/>
      <c r="L47" s="220"/>
      <c r="M47" s="225"/>
      <c r="N47" s="225"/>
      <c r="O47" s="234"/>
      <c r="P47" s="234"/>
      <c r="Q47" s="234"/>
      <c r="R47" s="234"/>
      <c r="S47" s="234"/>
      <c r="T47" s="234"/>
      <c r="U47" s="225"/>
      <c r="V47" s="218"/>
      <c r="W47" s="218"/>
      <c r="X47" s="218"/>
      <c r="Y47" s="234"/>
      <c r="Z47" s="218"/>
      <c r="AA47" s="218"/>
      <c r="AB47" s="234"/>
      <c r="AC47" s="218"/>
      <c r="AD47" s="218"/>
      <c r="AE47" s="225"/>
      <c r="AF47" s="249"/>
      <c r="AG47" s="249"/>
      <c r="AH47" s="249"/>
      <c r="AI47" s="249"/>
      <c r="AJ47" s="249"/>
      <c r="AK47" s="249"/>
      <c r="AL47" s="169"/>
    </row>
    <row r="48" spans="2:38" x14ac:dyDescent="0.2">
      <c r="B48" s="214" t="s">
        <v>182</v>
      </c>
      <c r="C48" s="214" t="s">
        <v>183</v>
      </c>
      <c r="D48" s="215" t="s">
        <v>186</v>
      </c>
      <c r="E48" s="216" t="s">
        <v>527</v>
      </c>
      <c r="F48" s="216" t="s">
        <v>185</v>
      </c>
      <c r="G48" s="248">
        <v>0.14538400000000001</v>
      </c>
      <c r="H48" s="242">
        <f>2655.34*10000</f>
        <v>26553400</v>
      </c>
      <c r="I48" s="220"/>
      <c r="J48" s="225"/>
      <c r="K48" s="218"/>
      <c r="L48" s="218"/>
      <c r="M48" s="234"/>
      <c r="N48" s="234"/>
      <c r="O48" s="225"/>
      <c r="P48" s="234"/>
      <c r="Q48" s="234"/>
      <c r="R48" s="234"/>
      <c r="S48" s="234"/>
      <c r="T48" s="234"/>
      <c r="U48" s="234"/>
      <c r="V48" s="220"/>
      <c r="W48" s="218"/>
      <c r="X48" s="218"/>
      <c r="Y48" s="234"/>
      <c r="Z48" s="220"/>
      <c r="AA48" s="218"/>
      <c r="AB48" s="234"/>
      <c r="AC48" s="218"/>
      <c r="AD48" s="218"/>
      <c r="AE48" s="225"/>
      <c r="AF48" s="249"/>
      <c r="AG48" s="249"/>
      <c r="AH48" s="249"/>
      <c r="AI48" s="249"/>
      <c r="AJ48" s="249"/>
      <c r="AK48" s="249"/>
      <c r="AL48" s="169"/>
    </row>
    <row r="49" spans="2:38" x14ac:dyDescent="0.2">
      <c r="B49" s="214" t="s">
        <v>182</v>
      </c>
      <c r="C49" s="214" t="s">
        <v>183</v>
      </c>
      <c r="D49" s="232" t="s">
        <v>547</v>
      </c>
      <c r="E49" s="216" t="s">
        <v>527</v>
      </c>
      <c r="F49" s="216" t="s">
        <v>185</v>
      </c>
      <c r="G49" s="248">
        <v>0.14538400000000001</v>
      </c>
      <c r="H49" s="242">
        <v>49349000</v>
      </c>
      <c r="I49" s="220"/>
      <c r="J49" s="225"/>
      <c r="K49" s="218"/>
      <c r="L49" s="220"/>
      <c r="M49" s="234"/>
      <c r="N49" s="234"/>
      <c r="O49" s="225"/>
      <c r="P49" s="234"/>
      <c r="Q49" s="234"/>
      <c r="R49" s="234"/>
      <c r="S49" s="234"/>
      <c r="T49" s="234"/>
      <c r="U49" s="225"/>
      <c r="V49" s="220"/>
      <c r="W49" s="218"/>
      <c r="X49" s="220"/>
      <c r="Y49" s="234"/>
      <c r="Z49" s="220"/>
      <c r="AA49" s="220"/>
      <c r="AB49" s="255"/>
      <c r="AC49" s="220"/>
      <c r="AD49" s="218"/>
      <c r="AE49" s="225"/>
      <c r="AF49" s="249"/>
      <c r="AG49" s="249"/>
      <c r="AH49" s="249"/>
      <c r="AI49" s="249"/>
      <c r="AJ49" s="249"/>
      <c r="AK49" s="249"/>
      <c r="AL49" s="169"/>
    </row>
    <row r="50" spans="2:38" x14ac:dyDescent="0.2">
      <c r="B50" s="214" t="s">
        <v>182</v>
      </c>
      <c r="C50" s="214" t="s">
        <v>183</v>
      </c>
      <c r="D50" s="232" t="s">
        <v>187</v>
      </c>
      <c r="E50" s="216" t="s">
        <v>527</v>
      </c>
      <c r="F50" s="216" t="s">
        <v>185</v>
      </c>
      <c r="G50" s="248">
        <v>0.14538400000000001</v>
      </c>
      <c r="H50" s="242">
        <v>74000000</v>
      </c>
      <c r="I50" s="220"/>
      <c r="J50" s="225"/>
      <c r="K50" s="218"/>
      <c r="L50" s="218"/>
      <c r="M50" s="225"/>
      <c r="N50" s="225"/>
      <c r="O50" s="225"/>
      <c r="P50" s="234"/>
      <c r="Q50" s="234"/>
      <c r="R50" s="234"/>
      <c r="S50" s="234"/>
      <c r="T50" s="225">
        <f>'Data in Local Currency'!T50*'Data in Local Currency'!G50</f>
        <v>0</v>
      </c>
      <c r="U50" s="234"/>
      <c r="V50" s="220"/>
      <c r="W50" s="218"/>
      <c r="X50" s="220"/>
      <c r="Y50" s="234"/>
      <c r="Z50" s="220"/>
      <c r="AA50" s="220"/>
      <c r="AB50" s="225"/>
      <c r="AC50" s="218"/>
      <c r="AD50" s="218"/>
      <c r="AE50" s="225"/>
      <c r="AF50" s="249"/>
      <c r="AG50" s="249"/>
      <c r="AH50" s="249"/>
      <c r="AI50" s="249"/>
      <c r="AJ50" s="249"/>
      <c r="AK50" s="249"/>
      <c r="AL50" s="169"/>
    </row>
    <row r="51" spans="2:38" x14ac:dyDescent="0.2">
      <c r="B51" s="214" t="s">
        <v>182</v>
      </c>
      <c r="C51" s="214" t="s">
        <v>183</v>
      </c>
      <c r="D51" s="232" t="s">
        <v>188</v>
      </c>
      <c r="E51" s="216" t="s">
        <v>83</v>
      </c>
      <c r="F51" s="216" t="s">
        <v>185</v>
      </c>
      <c r="G51" s="248">
        <v>0.1537053666</v>
      </c>
      <c r="H51" s="242">
        <f>28580000/110.7%</f>
        <v>25817524.841915086</v>
      </c>
      <c r="I51" s="220"/>
      <c r="J51" s="225"/>
      <c r="K51" s="218"/>
      <c r="L51" s="218"/>
      <c r="M51" s="225"/>
      <c r="N51" s="225"/>
      <c r="O51" s="225"/>
      <c r="P51" s="234"/>
      <c r="Q51" s="234"/>
      <c r="R51" s="234"/>
      <c r="S51" s="225">
        <f>'Data in Local Currency'!S51*'Data in Local Currency'!G51</f>
        <v>0</v>
      </c>
      <c r="T51" s="234"/>
      <c r="U51" s="225"/>
      <c r="V51" s="218"/>
      <c r="W51" s="218"/>
      <c r="X51" s="220"/>
      <c r="Y51" s="234"/>
      <c r="Z51" s="220"/>
      <c r="AA51" s="220"/>
      <c r="AB51" s="234"/>
      <c r="AC51" s="220"/>
      <c r="AD51" s="218"/>
      <c r="AE51" s="225"/>
      <c r="AF51" s="249"/>
      <c r="AG51" s="249"/>
      <c r="AH51" s="249"/>
      <c r="AI51" s="249"/>
      <c r="AJ51" s="249"/>
      <c r="AK51" s="249"/>
      <c r="AL51" s="169"/>
    </row>
    <row r="52" spans="2:38" x14ac:dyDescent="0.2">
      <c r="B52" s="214" t="s">
        <v>182</v>
      </c>
      <c r="C52" s="214" t="s">
        <v>183</v>
      </c>
      <c r="D52" s="215" t="s">
        <v>190</v>
      </c>
      <c r="E52" s="216" t="s">
        <v>527</v>
      </c>
      <c r="F52" s="216" t="s">
        <v>185</v>
      </c>
      <c r="G52" s="248">
        <v>0.14538400000000001</v>
      </c>
      <c r="H52" s="242">
        <v>69790000</v>
      </c>
      <c r="I52" s="220"/>
      <c r="J52" s="225"/>
      <c r="K52" s="218"/>
      <c r="L52" s="218"/>
      <c r="M52" s="234"/>
      <c r="N52" s="234"/>
      <c r="O52" s="225"/>
      <c r="P52" s="234"/>
      <c r="Q52" s="234"/>
      <c r="R52" s="234"/>
      <c r="S52" s="234"/>
      <c r="T52" s="234"/>
      <c r="U52" s="225"/>
      <c r="V52" s="220"/>
      <c r="W52" s="218"/>
      <c r="X52" s="218"/>
      <c r="Y52" s="234"/>
      <c r="Z52" s="218"/>
      <c r="AA52" s="218"/>
      <c r="AB52" s="225"/>
      <c r="AC52" s="218"/>
      <c r="AD52" s="218"/>
      <c r="AE52" s="225"/>
      <c r="AF52" s="249"/>
      <c r="AG52" s="249"/>
      <c r="AH52" s="249"/>
      <c r="AI52" s="249"/>
      <c r="AJ52" s="249"/>
      <c r="AK52" s="249"/>
      <c r="AL52" s="169"/>
    </row>
    <row r="53" spans="2:38" x14ac:dyDescent="0.2">
      <c r="B53" s="214" t="s">
        <v>182</v>
      </c>
      <c r="C53" s="214" t="s">
        <v>183</v>
      </c>
      <c r="D53" s="232" t="s">
        <v>191</v>
      </c>
      <c r="E53" s="216" t="s">
        <v>83</v>
      </c>
      <c r="F53" s="216" t="s">
        <v>185</v>
      </c>
      <c r="G53" s="248">
        <v>0.1537053666</v>
      </c>
      <c r="H53" s="242">
        <v>24770000</v>
      </c>
      <c r="I53" s="220"/>
      <c r="J53" s="234"/>
      <c r="K53" s="218"/>
      <c r="L53" s="220"/>
      <c r="M53" s="234"/>
      <c r="N53" s="234"/>
      <c r="O53" s="234"/>
      <c r="P53" s="234"/>
      <c r="Q53" s="234"/>
      <c r="R53" s="234"/>
      <c r="S53" s="234"/>
      <c r="T53" s="234"/>
      <c r="U53" s="234"/>
      <c r="V53" s="220"/>
      <c r="W53" s="218"/>
      <c r="X53" s="220"/>
      <c r="Y53" s="234"/>
      <c r="Z53" s="220"/>
      <c r="AA53" s="220"/>
      <c r="AB53" s="234"/>
      <c r="AC53" s="220"/>
      <c r="AD53" s="218"/>
      <c r="AE53" s="225"/>
      <c r="AF53" s="249"/>
      <c r="AG53" s="249"/>
      <c r="AH53" s="249"/>
      <c r="AI53" s="249"/>
      <c r="AJ53" s="249"/>
      <c r="AK53" s="249"/>
      <c r="AL53" s="169"/>
    </row>
    <row r="54" spans="2:38" x14ac:dyDescent="0.2">
      <c r="B54" s="214" t="s">
        <v>182</v>
      </c>
      <c r="C54" s="214" t="s">
        <v>183</v>
      </c>
      <c r="D54" s="215" t="s">
        <v>546</v>
      </c>
      <c r="E54" s="216" t="s">
        <v>527</v>
      </c>
      <c r="F54" s="216" t="s">
        <v>185</v>
      </c>
      <c r="G54" s="248">
        <v>0.14538400000000001</v>
      </c>
      <c r="H54" s="242">
        <f>2412.36*10000</f>
        <v>24123600</v>
      </c>
      <c r="I54" s="220"/>
      <c r="J54" s="225"/>
      <c r="K54" s="218"/>
      <c r="L54" s="218"/>
      <c r="M54" s="225"/>
      <c r="N54" s="225"/>
      <c r="O54" s="225"/>
      <c r="P54" s="234"/>
      <c r="Q54" s="234"/>
      <c r="R54" s="234"/>
      <c r="S54" s="234"/>
      <c r="T54" s="234"/>
      <c r="U54" s="225"/>
      <c r="V54" s="218"/>
      <c r="W54" s="218"/>
      <c r="X54" s="218">
        <f>'Data in Local Currency'!X54*'Data in Local Currency'!G54</f>
        <v>0</v>
      </c>
      <c r="Y54" s="234"/>
      <c r="Z54" s="220"/>
      <c r="AA54" s="220"/>
      <c r="AB54" s="234"/>
      <c r="AC54" s="218"/>
      <c r="AD54" s="218"/>
      <c r="AE54" s="225"/>
      <c r="AF54" s="249"/>
      <c r="AG54" s="249"/>
      <c r="AH54" s="249"/>
      <c r="AI54" s="249"/>
      <c r="AJ54" s="249"/>
      <c r="AK54" s="249"/>
      <c r="AL54" s="169"/>
    </row>
    <row r="55" spans="2:38" x14ac:dyDescent="0.2">
      <c r="B55" s="214" t="s">
        <v>182</v>
      </c>
      <c r="C55" s="214" t="s">
        <v>183</v>
      </c>
      <c r="D55" s="232" t="s">
        <v>192</v>
      </c>
      <c r="E55" s="216" t="s">
        <v>527</v>
      </c>
      <c r="F55" s="216" t="s">
        <v>185</v>
      </c>
      <c r="G55" s="248">
        <v>0.14538400000000001</v>
      </c>
      <c r="H55" s="242">
        <f>5287.7*10000</f>
        <v>52877000</v>
      </c>
      <c r="I55" s="256"/>
      <c r="J55" s="234"/>
      <c r="K55" s="218"/>
      <c r="L55" s="220"/>
      <c r="M55" s="234"/>
      <c r="N55" s="234"/>
      <c r="O55" s="234"/>
      <c r="P55" s="234"/>
      <c r="Q55" s="234"/>
      <c r="R55" s="234"/>
      <c r="S55" s="225">
        <f>'Data in Local Currency'!S55*'Data in Local Currency'!G55</f>
        <v>0</v>
      </c>
      <c r="T55" s="234"/>
      <c r="U55" s="234"/>
      <c r="V55" s="220"/>
      <c r="W55" s="218"/>
      <c r="X55" s="220"/>
      <c r="Y55" s="234"/>
      <c r="Z55" s="220"/>
      <c r="AA55" s="220"/>
      <c r="AB55" s="234"/>
      <c r="AC55" s="220"/>
      <c r="AD55" s="218"/>
      <c r="AE55" s="225"/>
      <c r="AF55" s="249"/>
      <c r="AG55" s="249"/>
      <c r="AH55" s="249"/>
      <c r="AI55" s="249"/>
      <c r="AJ55" s="249"/>
      <c r="AK55" s="249"/>
      <c r="AL55" s="169"/>
    </row>
    <row r="56" spans="2:38" x14ac:dyDescent="0.2">
      <c r="B56" s="214" t="s">
        <v>182</v>
      </c>
      <c r="C56" s="214" t="s">
        <v>183</v>
      </c>
      <c r="D56" s="215" t="s">
        <v>193</v>
      </c>
      <c r="E56" s="216" t="s">
        <v>527</v>
      </c>
      <c r="F56" s="216" t="s">
        <v>185</v>
      </c>
      <c r="G56" s="248">
        <v>0.14538400000000001</v>
      </c>
      <c r="H56" s="242">
        <v>100983290</v>
      </c>
      <c r="I56" s="220"/>
      <c r="J56" s="225"/>
      <c r="K56" s="218"/>
      <c r="L56" s="218"/>
      <c r="M56" s="225"/>
      <c r="N56" s="225"/>
      <c r="O56" s="225"/>
      <c r="P56" s="234"/>
      <c r="Q56" s="234"/>
      <c r="R56" s="225">
        <f>'Data in Local Currency'!G56*'Data in Local Currency'!R56</f>
        <v>0</v>
      </c>
      <c r="S56" s="225">
        <f>'Data in Local Currency'!S56*'Data in Local Currency'!G56</f>
        <v>0</v>
      </c>
      <c r="T56" s="225">
        <f>'Data in Local Currency'!T56*'Data in Local Currency'!G56</f>
        <v>0</v>
      </c>
      <c r="U56" s="225"/>
      <c r="V56" s="218"/>
      <c r="W56" s="218"/>
      <c r="X56" s="218"/>
      <c r="Y56" s="234"/>
      <c r="Z56" s="218"/>
      <c r="AA56" s="218"/>
      <c r="AB56" s="225"/>
      <c r="AC56" s="218"/>
      <c r="AD56" s="218"/>
      <c r="AE56" s="225"/>
      <c r="AF56" s="249"/>
      <c r="AG56" s="249"/>
      <c r="AH56" s="249"/>
      <c r="AI56" s="249"/>
      <c r="AJ56" s="249"/>
      <c r="AK56" s="249"/>
      <c r="AL56" s="169"/>
    </row>
    <row r="57" spans="2:38" x14ac:dyDescent="0.2">
      <c r="B57" s="214" t="s">
        <v>182</v>
      </c>
      <c r="C57" s="214" t="s">
        <v>183</v>
      </c>
      <c r="D57" s="232" t="s">
        <v>194</v>
      </c>
      <c r="E57" s="216" t="s">
        <v>527</v>
      </c>
      <c r="F57" s="216" t="s">
        <v>185</v>
      </c>
      <c r="G57" s="248">
        <v>0.14538400000000001</v>
      </c>
      <c r="H57" s="242">
        <f>3351.06*10000</f>
        <v>33510600</v>
      </c>
      <c r="I57" s="220"/>
      <c r="J57" s="225"/>
      <c r="K57" s="218"/>
      <c r="L57" s="220"/>
      <c r="M57" s="234"/>
      <c r="N57" s="234"/>
      <c r="O57" s="234"/>
      <c r="P57" s="234"/>
      <c r="Q57" s="234"/>
      <c r="R57" s="234"/>
      <c r="S57" s="225">
        <f>'Data in Local Currency'!S57*'Data in Local Currency'!G57</f>
        <v>0</v>
      </c>
      <c r="T57" s="234"/>
      <c r="U57" s="225"/>
      <c r="V57" s="220"/>
      <c r="W57" s="218"/>
      <c r="X57" s="220"/>
      <c r="Y57" s="234"/>
      <c r="Z57" s="220"/>
      <c r="AA57" s="218"/>
      <c r="AB57" s="234"/>
      <c r="AC57" s="220"/>
      <c r="AD57" s="218"/>
      <c r="AE57" s="225"/>
      <c r="AF57" s="249"/>
      <c r="AG57" s="249"/>
      <c r="AH57" s="249"/>
      <c r="AI57" s="249"/>
      <c r="AJ57" s="249"/>
      <c r="AK57" s="249"/>
      <c r="AL57" s="169"/>
    </row>
    <row r="58" spans="2:38" x14ac:dyDescent="0.2">
      <c r="B58" s="214" t="s">
        <v>182</v>
      </c>
      <c r="C58" s="214" t="s">
        <v>183</v>
      </c>
      <c r="D58" s="232" t="s">
        <v>195</v>
      </c>
      <c r="E58" s="216" t="s">
        <v>527</v>
      </c>
      <c r="F58" s="216" t="s">
        <v>110</v>
      </c>
      <c r="G58" s="248">
        <v>1.145548</v>
      </c>
      <c r="H58" s="242">
        <v>44653433</v>
      </c>
      <c r="I58" s="220"/>
      <c r="J58" s="225"/>
      <c r="K58" s="218"/>
      <c r="L58" s="220"/>
      <c r="M58" s="234"/>
      <c r="N58" s="234"/>
      <c r="O58" s="234"/>
      <c r="P58" s="234"/>
      <c r="Q58" s="234"/>
      <c r="R58" s="234"/>
      <c r="S58" s="234"/>
      <c r="T58" s="234"/>
      <c r="U58" s="234"/>
      <c r="V58" s="220"/>
      <c r="W58" s="220"/>
      <c r="X58" s="220"/>
      <c r="Y58" s="234"/>
      <c r="Z58" s="220"/>
      <c r="AA58" s="220"/>
      <c r="AB58" s="234"/>
      <c r="AC58" s="220"/>
      <c r="AD58" s="220"/>
      <c r="AE58" s="225"/>
      <c r="AF58" s="249"/>
      <c r="AG58" s="249"/>
      <c r="AH58" s="250"/>
      <c r="AI58" s="250"/>
      <c r="AJ58" s="249"/>
      <c r="AK58" s="250"/>
      <c r="AL58" s="168"/>
    </row>
    <row r="59" spans="2:38" x14ac:dyDescent="0.2">
      <c r="B59" s="214" t="s">
        <v>182</v>
      </c>
      <c r="C59" s="214" t="s">
        <v>183</v>
      </c>
      <c r="D59" s="232" t="s">
        <v>196</v>
      </c>
      <c r="E59" s="216" t="s">
        <v>527</v>
      </c>
      <c r="F59" s="216" t="s">
        <v>185</v>
      </c>
      <c r="G59" s="248">
        <v>0.14538400000000001</v>
      </c>
      <c r="H59" s="242">
        <v>41590000</v>
      </c>
      <c r="I59" s="220"/>
      <c r="J59" s="234"/>
      <c r="K59" s="218"/>
      <c r="L59" s="220"/>
      <c r="M59" s="234"/>
      <c r="N59" s="234"/>
      <c r="O59" s="234"/>
      <c r="P59" s="234"/>
      <c r="Q59" s="234"/>
      <c r="R59" s="234"/>
      <c r="S59" s="234"/>
      <c r="T59" s="234"/>
      <c r="U59" s="234"/>
      <c r="V59" s="220"/>
      <c r="W59" s="218"/>
      <c r="X59" s="220"/>
      <c r="Y59" s="234"/>
      <c r="Z59" s="218"/>
      <c r="AA59" s="218"/>
      <c r="AB59" s="234"/>
      <c r="AC59" s="220"/>
      <c r="AD59" s="218"/>
      <c r="AE59" s="225"/>
      <c r="AF59" s="249"/>
      <c r="AG59" s="250"/>
      <c r="AH59" s="250"/>
      <c r="AI59" s="250"/>
      <c r="AJ59" s="249"/>
      <c r="AK59" s="249"/>
      <c r="AL59" s="168"/>
    </row>
    <row r="60" spans="2:38" x14ac:dyDescent="0.2">
      <c r="B60" s="214" t="s">
        <v>182</v>
      </c>
      <c r="C60" s="214" t="s">
        <v>197</v>
      </c>
      <c r="D60" s="215" t="s">
        <v>198</v>
      </c>
      <c r="E60" s="216" t="s">
        <v>199</v>
      </c>
      <c r="F60" s="216" t="s">
        <v>200</v>
      </c>
      <c r="G60" s="248">
        <v>0.12748311479999999</v>
      </c>
      <c r="H60" s="242">
        <v>73600000</v>
      </c>
      <c r="I60" s="220"/>
      <c r="J60" s="225"/>
      <c r="K60" s="218"/>
      <c r="L60" s="218"/>
      <c r="M60" s="234"/>
      <c r="N60" s="234"/>
      <c r="O60" s="225"/>
      <c r="P60" s="234"/>
      <c r="Q60" s="234"/>
      <c r="R60" s="234"/>
      <c r="S60" s="234"/>
      <c r="T60" s="234"/>
      <c r="U60" s="234"/>
      <c r="V60" s="220"/>
      <c r="W60" s="218"/>
      <c r="X60" s="218"/>
      <c r="Y60" s="234"/>
      <c r="Z60" s="218"/>
      <c r="AA60" s="218"/>
      <c r="AB60" s="225"/>
      <c r="AC60" s="218"/>
      <c r="AD60" s="218"/>
      <c r="AE60" s="225"/>
      <c r="AF60" s="249"/>
      <c r="AG60" s="249"/>
      <c r="AH60" s="249"/>
      <c r="AI60" s="249"/>
      <c r="AJ60" s="249"/>
      <c r="AK60" s="249"/>
      <c r="AL60" s="150"/>
    </row>
    <row r="61" spans="2:38" x14ac:dyDescent="0.2">
      <c r="B61" s="214" t="s">
        <v>182</v>
      </c>
      <c r="C61" s="214" t="s">
        <v>201</v>
      </c>
      <c r="D61" s="232" t="s">
        <v>202</v>
      </c>
      <c r="E61" s="216" t="s">
        <v>83</v>
      </c>
      <c r="F61" s="216" t="s">
        <v>203</v>
      </c>
      <c r="G61" s="248">
        <v>0.12428295020000001</v>
      </c>
      <c r="H61" s="242">
        <v>7380000</v>
      </c>
      <c r="I61" s="220"/>
      <c r="J61" s="225"/>
      <c r="K61" s="218"/>
      <c r="L61" s="218"/>
      <c r="M61" s="234"/>
      <c r="N61" s="234"/>
      <c r="O61" s="225"/>
      <c r="P61" s="234"/>
      <c r="Q61" s="234"/>
      <c r="R61" s="234"/>
      <c r="S61" s="234"/>
      <c r="T61" s="234"/>
      <c r="U61" s="234"/>
      <c r="V61" s="220"/>
      <c r="W61" s="220"/>
      <c r="X61" s="220"/>
      <c r="Y61" s="234"/>
      <c r="Z61" s="220"/>
      <c r="AA61" s="220"/>
      <c r="AB61" s="234"/>
      <c r="AC61" s="220"/>
      <c r="AD61" s="220"/>
      <c r="AE61" s="225"/>
      <c r="AF61" s="250"/>
      <c r="AG61" s="250"/>
      <c r="AH61" s="250"/>
      <c r="AI61" s="250"/>
      <c r="AJ61" s="250"/>
      <c r="AK61" s="250"/>
      <c r="AL61" s="150"/>
    </row>
    <row r="62" spans="2:38" x14ac:dyDescent="0.2">
      <c r="B62" s="214" t="s">
        <v>182</v>
      </c>
      <c r="C62" s="214" t="s">
        <v>204</v>
      </c>
      <c r="D62" s="215" t="s">
        <v>205</v>
      </c>
      <c r="E62" s="216" t="s">
        <v>527</v>
      </c>
      <c r="F62" s="216" t="s">
        <v>206</v>
      </c>
      <c r="G62" s="248">
        <v>3.0839925399999999E-2</v>
      </c>
      <c r="H62" s="245">
        <v>46535180</v>
      </c>
      <c r="I62" s="257"/>
      <c r="J62" s="225"/>
      <c r="K62" s="218"/>
      <c r="L62" s="218"/>
      <c r="M62" s="234"/>
      <c r="N62" s="225"/>
      <c r="O62" s="225"/>
      <c r="P62" s="225"/>
      <c r="Q62" s="225">
        <f>'Data in Local Currency'!Q62*'Data in Local Currency'!G62</f>
        <v>0</v>
      </c>
      <c r="R62" s="225">
        <f>'Data in Local Currency'!G62*'Data in Local Currency'!R62</f>
        <v>0</v>
      </c>
      <c r="S62" s="225">
        <f>'Data in Local Currency'!S62*'Data in Local Currency'!G62</f>
        <v>0</v>
      </c>
      <c r="T62" s="225">
        <f>'Data in Local Currency'!T62*'Data in Local Currency'!G62</f>
        <v>0</v>
      </c>
      <c r="U62" s="225"/>
      <c r="V62" s="218"/>
      <c r="W62" s="218"/>
      <c r="X62" s="218"/>
      <c r="Y62" s="234"/>
      <c r="Z62" s="218"/>
      <c r="AA62" s="218"/>
      <c r="AB62" s="225"/>
      <c r="AC62" s="218"/>
      <c r="AD62" s="218"/>
      <c r="AE62" s="225"/>
      <c r="AF62" s="249"/>
      <c r="AG62" s="249"/>
      <c r="AH62" s="250"/>
      <c r="AI62" s="250"/>
      <c r="AJ62" s="250"/>
      <c r="AK62" s="250"/>
      <c r="AL62" s="150"/>
    </row>
    <row r="63" spans="2:38" x14ac:dyDescent="0.2">
      <c r="B63" s="214" t="s">
        <v>182</v>
      </c>
      <c r="C63" s="214" t="s">
        <v>204</v>
      </c>
      <c r="D63" s="232" t="s">
        <v>208</v>
      </c>
      <c r="E63" s="216" t="s">
        <v>83</v>
      </c>
      <c r="F63" s="216" t="s">
        <v>206</v>
      </c>
      <c r="G63" s="248">
        <v>3.3662034299999997E-2</v>
      </c>
      <c r="H63" s="242">
        <v>5943153</v>
      </c>
      <c r="I63" s="220"/>
      <c r="J63" s="225"/>
      <c r="K63" s="218"/>
      <c r="L63" s="218"/>
      <c r="M63" s="225"/>
      <c r="N63" s="234"/>
      <c r="O63" s="225"/>
      <c r="P63" s="234"/>
      <c r="Q63" s="234"/>
      <c r="R63" s="234"/>
      <c r="S63" s="234"/>
      <c r="T63" s="234"/>
      <c r="U63" s="234"/>
      <c r="V63" s="218"/>
      <c r="W63" s="218"/>
      <c r="X63" s="220"/>
      <c r="Y63" s="234"/>
      <c r="Z63" s="220"/>
      <c r="AA63" s="220"/>
      <c r="AB63" s="234"/>
      <c r="AC63" s="220"/>
      <c r="AD63" s="218"/>
      <c r="AE63" s="234"/>
      <c r="AF63" s="250"/>
      <c r="AG63" s="250"/>
      <c r="AH63" s="250"/>
      <c r="AI63" s="250"/>
      <c r="AJ63" s="250"/>
      <c r="AK63" s="250"/>
      <c r="AL63" s="150"/>
    </row>
    <row r="64" spans="2:38" ht="19.5" customHeight="1" x14ac:dyDescent="0.2">
      <c r="B64" s="214" t="s">
        <v>182</v>
      </c>
      <c r="C64" s="214" t="s">
        <v>209</v>
      </c>
      <c r="D64" s="215" t="s">
        <v>210</v>
      </c>
      <c r="E64" s="216" t="s">
        <v>529</v>
      </c>
      <c r="F64" s="216" t="s">
        <v>211</v>
      </c>
      <c r="G64" s="248">
        <v>9.0200000000000002E-3</v>
      </c>
      <c r="H64" s="242">
        <f>(609+625)*10000</f>
        <v>12340000</v>
      </c>
      <c r="I64" s="220"/>
      <c r="J64" s="225"/>
      <c r="K64" s="218"/>
      <c r="L64" s="218"/>
      <c r="M64" s="234"/>
      <c r="N64" s="234"/>
      <c r="O64" s="225"/>
      <c r="P64" s="234"/>
      <c r="Q64" s="234"/>
      <c r="R64" s="234"/>
      <c r="S64" s="234"/>
      <c r="T64" s="234"/>
      <c r="U64" s="234"/>
      <c r="V64" s="220"/>
      <c r="W64" s="218"/>
      <c r="X64" s="220"/>
      <c r="Y64" s="234"/>
      <c r="Z64" s="220"/>
      <c r="AA64" s="218"/>
      <c r="AB64" s="225"/>
      <c r="AC64" s="220"/>
      <c r="AD64" s="218"/>
      <c r="AE64" s="225"/>
      <c r="AF64" s="249"/>
      <c r="AG64" s="249"/>
      <c r="AH64" s="249"/>
      <c r="AI64" s="249"/>
      <c r="AJ64" s="249"/>
      <c r="AK64" s="249"/>
    </row>
    <row r="65" spans="2:38" x14ac:dyDescent="0.2">
      <c r="B65" s="214" t="s">
        <v>182</v>
      </c>
      <c r="C65" s="214" t="s">
        <v>209</v>
      </c>
      <c r="D65" s="232" t="s">
        <v>959</v>
      </c>
      <c r="E65" s="216" t="s">
        <v>529</v>
      </c>
      <c r="F65" s="216" t="s">
        <v>211</v>
      </c>
      <c r="G65" s="248">
        <v>9.0200000000000002E-3</v>
      </c>
      <c r="H65" s="242">
        <f>(609+625)*10000</f>
        <v>12340000</v>
      </c>
      <c r="I65" s="220"/>
      <c r="J65" s="225"/>
      <c r="K65" s="218"/>
      <c r="L65" s="220"/>
      <c r="M65" s="234"/>
      <c r="N65" s="234"/>
      <c r="O65" s="234"/>
      <c r="P65" s="234"/>
      <c r="Q65" s="234"/>
      <c r="R65" s="234"/>
      <c r="S65" s="234"/>
      <c r="T65" s="234"/>
      <c r="U65" s="234"/>
      <c r="V65" s="220"/>
      <c r="W65" s="218"/>
      <c r="X65" s="220"/>
      <c r="Y65" s="234"/>
      <c r="Z65" s="220"/>
      <c r="AA65" s="220"/>
      <c r="AB65" s="225"/>
      <c r="AC65" s="220"/>
      <c r="AD65" s="218"/>
      <c r="AE65" s="225"/>
      <c r="AF65" s="249"/>
      <c r="AG65" s="250"/>
      <c r="AH65" s="249"/>
      <c r="AI65" s="249"/>
      <c r="AJ65" s="249"/>
      <c r="AK65" s="250"/>
      <c r="AL65" s="150"/>
    </row>
    <row r="66" spans="2:38" x14ac:dyDescent="0.2">
      <c r="B66" s="214" t="s">
        <v>182</v>
      </c>
      <c r="C66" s="214" t="s">
        <v>209</v>
      </c>
      <c r="D66" s="232" t="s">
        <v>214</v>
      </c>
      <c r="E66" s="216" t="s">
        <v>529</v>
      </c>
      <c r="F66" s="216" t="s">
        <v>211</v>
      </c>
      <c r="G66" s="248">
        <v>9.0200000000000002E-3</v>
      </c>
      <c r="H66" s="242">
        <v>3389777</v>
      </c>
      <c r="I66" s="220"/>
      <c r="J66" s="234"/>
      <c r="K66" s="218"/>
      <c r="L66" s="220"/>
      <c r="M66" s="234"/>
      <c r="N66" s="234"/>
      <c r="O66" s="220"/>
      <c r="P66" s="234"/>
      <c r="Q66" s="234"/>
      <c r="R66" s="234"/>
      <c r="S66" s="234"/>
      <c r="T66" s="234"/>
      <c r="U66" s="234"/>
      <c r="V66" s="220"/>
      <c r="W66" s="218"/>
      <c r="X66" s="220"/>
      <c r="Y66" s="234"/>
      <c r="Z66" s="220"/>
      <c r="AA66" s="220"/>
      <c r="AB66" s="225"/>
      <c r="AC66" s="220"/>
      <c r="AD66" s="218"/>
      <c r="AE66" s="225"/>
      <c r="AF66" s="249"/>
      <c r="AG66" s="249"/>
      <c r="AH66" s="249"/>
      <c r="AI66" s="249"/>
      <c r="AJ66" s="249"/>
      <c r="AK66" s="250"/>
    </row>
    <row r="67" spans="2:38" x14ac:dyDescent="0.2">
      <c r="B67" s="214" t="s">
        <v>182</v>
      </c>
      <c r="C67" s="214" t="s">
        <v>209</v>
      </c>
      <c r="D67" s="215" t="s">
        <v>215</v>
      </c>
      <c r="E67" s="216" t="s">
        <v>529</v>
      </c>
      <c r="F67" s="216" t="s">
        <v>211</v>
      </c>
      <c r="G67" s="248">
        <v>9.0200000000000002E-3</v>
      </c>
      <c r="H67" s="242">
        <v>43176000</v>
      </c>
      <c r="I67" s="218"/>
      <c r="J67" s="225"/>
      <c r="K67" s="218"/>
      <c r="L67" s="218"/>
      <c r="M67" s="234"/>
      <c r="N67" s="234"/>
      <c r="O67" s="218"/>
      <c r="P67" s="234"/>
      <c r="Q67" s="234"/>
      <c r="R67" s="234"/>
      <c r="S67" s="234"/>
      <c r="T67" s="225">
        <f>'Data in Local Currency'!T67*'Data in Local Currency'!G67</f>
        <v>0</v>
      </c>
      <c r="U67" s="234"/>
      <c r="V67" s="220"/>
      <c r="W67" s="218"/>
      <c r="X67" s="218"/>
      <c r="Y67" s="234"/>
      <c r="Z67" s="220"/>
      <c r="AA67" s="218"/>
      <c r="AB67" s="225"/>
      <c r="AC67" s="218"/>
      <c r="AD67" s="218"/>
      <c r="AE67" s="225"/>
      <c r="AF67" s="249"/>
      <c r="AG67" s="249"/>
      <c r="AH67" s="249"/>
      <c r="AI67" s="249"/>
      <c r="AJ67" s="249"/>
      <c r="AK67" s="249"/>
    </row>
    <row r="68" spans="2:38" x14ac:dyDescent="0.2">
      <c r="B68" s="214" t="s">
        <v>182</v>
      </c>
      <c r="C68" s="214" t="s">
        <v>209</v>
      </c>
      <c r="D68" s="215" t="s">
        <v>216</v>
      </c>
      <c r="E68" s="216" t="s">
        <v>529</v>
      </c>
      <c r="F68" s="216" t="s">
        <v>211</v>
      </c>
      <c r="G68" s="248">
        <v>9.0200000000000002E-3</v>
      </c>
      <c r="H68" s="242">
        <v>48900000</v>
      </c>
      <c r="I68" s="218"/>
      <c r="J68" s="225"/>
      <c r="K68" s="218"/>
      <c r="L68" s="218"/>
      <c r="M68" s="234"/>
      <c r="N68" s="234"/>
      <c r="O68" s="218"/>
      <c r="P68" s="225"/>
      <c r="Q68" s="234"/>
      <c r="R68" s="234"/>
      <c r="S68" s="234"/>
      <c r="T68" s="225">
        <f>'Data in Local Currency'!T68*'Data in Local Currency'!G68</f>
        <v>0</v>
      </c>
      <c r="U68" s="234"/>
      <c r="V68" s="220"/>
      <c r="W68" s="218"/>
      <c r="X68" s="218">
        <f>'Data in Local Currency'!X68*'Data in Local Currency'!G68</f>
        <v>0</v>
      </c>
      <c r="Y68" s="234"/>
      <c r="Z68" s="220"/>
      <c r="AA68" s="220"/>
      <c r="AB68" s="234"/>
      <c r="AC68" s="218"/>
      <c r="AD68" s="218"/>
      <c r="AE68" s="225"/>
      <c r="AF68" s="249"/>
      <c r="AG68" s="249"/>
      <c r="AH68" s="249"/>
      <c r="AI68" s="249"/>
      <c r="AJ68" s="249"/>
      <c r="AK68" s="250"/>
    </row>
    <row r="69" spans="2:38" x14ac:dyDescent="0.2">
      <c r="B69" s="214" t="s">
        <v>182</v>
      </c>
      <c r="C69" s="214" t="s">
        <v>209</v>
      </c>
      <c r="D69" s="232" t="s">
        <v>217</v>
      </c>
      <c r="E69" s="216" t="s">
        <v>135</v>
      </c>
      <c r="F69" s="216" t="s">
        <v>211</v>
      </c>
      <c r="G69" s="248">
        <v>9.4091156999999998E-3</v>
      </c>
      <c r="H69" s="242">
        <v>3158442</v>
      </c>
      <c r="I69" s="220"/>
      <c r="J69" s="234"/>
      <c r="K69" s="218"/>
      <c r="L69" s="220"/>
      <c r="M69" s="234"/>
      <c r="N69" s="234"/>
      <c r="O69" s="220"/>
      <c r="P69" s="234"/>
      <c r="Q69" s="234"/>
      <c r="R69" s="225">
        <f>'Data in Local Currency'!G69*'Data in Local Currency'!R69</f>
        <v>0</v>
      </c>
      <c r="S69" s="225">
        <f>'Data in Local Currency'!S69*'Data in Local Currency'!G69</f>
        <v>0</v>
      </c>
      <c r="T69" s="225">
        <f>'Data in Local Currency'!T69*'Data in Local Currency'!G69</f>
        <v>0</v>
      </c>
      <c r="U69" s="225"/>
      <c r="V69" s="220"/>
      <c r="W69" s="218"/>
      <c r="X69" s="220"/>
      <c r="Y69" s="234"/>
      <c r="Z69" s="220"/>
      <c r="AA69" s="220"/>
      <c r="AB69" s="225"/>
      <c r="AC69" s="220"/>
      <c r="AD69" s="218"/>
      <c r="AE69" s="225"/>
      <c r="AF69" s="249"/>
      <c r="AG69" s="249"/>
      <c r="AH69" s="249"/>
      <c r="AI69" s="249"/>
      <c r="AJ69" s="249"/>
      <c r="AK69" s="250"/>
    </row>
    <row r="70" spans="2:38" x14ac:dyDescent="0.2">
      <c r="B70" s="214" t="s">
        <v>182</v>
      </c>
      <c r="C70" s="214" t="s">
        <v>209</v>
      </c>
      <c r="D70" s="232" t="s">
        <v>218</v>
      </c>
      <c r="E70" s="216" t="s">
        <v>135</v>
      </c>
      <c r="F70" s="216" t="s">
        <v>211</v>
      </c>
      <c r="G70" s="248">
        <v>9.4091156999999998E-3</v>
      </c>
      <c r="H70" s="242">
        <v>3011842</v>
      </c>
      <c r="I70" s="220"/>
      <c r="J70" s="234"/>
      <c r="K70" s="218"/>
      <c r="L70" s="220"/>
      <c r="M70" s="234"/>
      <c r="N70" s="234"/>
      <c r="O70" s="220"/>
      <c r="P70" s="234"/>
      <c r="Q70" s="234"/>
      <c r="R70" s="225">
        <f>'Data in Local Currency'!G70*'Data in Local Currency'!R70</f>
        <v>0</v>
      </c>
      <c r="S70" s="225">
        <f>'Data in Local Currency'!S70*'Data in Local Currency'!G70</f>
        <v>0</v>
      </c>
      <c r="T70" s="225">
        <f>'Data in Local Currency'!T70*'Data in Local Currency'!G70</f>
        <v>0</v>
      </c>
      <c r="U70" s="225"/>
      <c r="V70" s="220"/>
      <c r="W70" s="218"/>
      <c r="X70" s="218"/>
      <c r="Y70" s="234"/>
      <c r="Z70" s="220"/>
      <c r="AA70" s="218"/>
      <c r="AB70" s="225"/>
      <c r="AC70" s="218"/>
      <c r="AD70" s="218"/>
      <c r="AE70" s="225"/>
      <c r="AF70" s="249"/>
      <c r="AG70" s="249"/>
      <c r="AH70" s="249"/>
      <c r="AI70" s="249"/>
      <c r="AJ70" s="249"/>
      <c r="AK70" s="250"/>
    </row>
    <row r="71" spans="2:38" x14ac:dyDescent="0.2">
      <c r="B71" s="214" t="s">
        <v>182</v>
      </c>
      <c r="C71" s="214" t="s">
        <v>219</v>
      </c>
      <c r="D71" s="232" t="s">
        <v>220</v>
      </c>
      <c r="E71" s="216" t="s">
        <v>83</v>
      </c>
      <c r="F71" s="216" t="s">
        <v>221</v>
      </c>
      <c r="G71" s="248">
        <v>9.3773200000000004E-4</v>
      </c>
      <c r="H71" s="242">
        <v>82800000</v>
      </c>
      <c r="I71" s="220"/>
      <c r="J71" s="234"/>
      <c r="K71" s="218"/>
      <c r="L71" s="220"/>
      <c r="M71" s="234"/>
      <c r="N71" s="234"/>
      <c r="O71" s="220"/>
      <c r="P71" s="234"/>
      <c r="Q71" s="234"/>
      <c r="R71" s="234"/>
      <c r="S71" s="234"/>
      <c r="T71" s="234"/>
      <c r="U71" s="234"/>
      <c r="V71" s="220"/>
      <c r="W71" s="220"/>
      <c r="X71" s="220"/>
      <c r="Y71" s="234"/>
      <c r="Z71" s="220"/>
      <c r="AA71" s="220"/>
      <c r="AB71" s="234"/>
      <c r="AC71" s="220"/>
      <c r="AD71" s="220"/>
      <c r="AE71" s="225"/>
      <c r="AF71" s="250"/>
      <c r="AG71" s="250"/>
      <c r="AH71" s="250"/>
      <c r="AI71" s="250"/>
      <c r="AJ71" s="250"/>
      <c r="AK71" s="250"/>
    </row>
    <row r="72" spans="2:38" x14ac:dyDescent="0.2">
      <c r="B72" s="214" t="s">
        <v>182</v>
      </c>
      <c r="C72" s="214" t="s">
        <v>219</v>
      </c>
      <c r="D72" s="215" t="s">
        <v>222</v>
      </c>
      <c r="E72" s="216" t="s">
        <v>83</v>
      </c>
      <c r="F72" s="216" t="s">
        <v>221</v>
      </c>
      <c r="G72" s="248">
        <v>9.3773200000000004E-4</v>
      </c>
      <c r="H72" s="242">
        <v>62000000</v>
      </c>
      <c r="I72" s="220"/>
      <c r="J72" s="225"/>
      <c r="K72" s="218"/>
      <c r="L72" s="218"/>
      <c r="M72" s="234"/>
      <c r="N72" s="234"/>
      <c r="O72" s="218"/>
      <c r="P72" s="234"/>
      <c r="Q72" s="234"/>
      <c r="R72" s="234"/>
      <c r="S72" s="234"/>
      <c r="T72" s="234"/>
      <c r="U72" s="234"/>
      <c r="V72" s="220"/>
      <c r="W72" s="220"/>
      <c r="X72" s="220"/>
      <c r="Y72" s="234"/>
      <c r="Z72" s="220"/>
      <c r="AA72" s="220"/>
      <c r="AB72" s="234"/>
      <c r="AC72" s="220"/>
      <c r="AD72" s="218"/>
      <c r="AE72" s="225"/>
      <c r="AF72" s="249"/>
      <c r="AG72" s="249"/>
      <c r="AH72" s="250"/>
      <c r="AI72" s="250"/>
      <c r="AJ72" s="250"/>
      <c r="AK72" s="250"/>
    </row>
    <row r="73" spans="2:38" x14ac:dyDescent="0.2">
      <c r="B73" s="214" t="s">
        <v>223</v>
      </c>
      <c r="C73" s="214" t="s">
        <v>224</v>
      </c>
      <c r="D73" s="215" t="s">
        <v>225</v>
      </c>
      <c r="E73" s="216" t="s">
        <v>545</v>
      </c>
      <c r="F73" s="216" t="s">
        <v>226</v>
      </c>
      <c r="G73" s="248">
        <v>1.5921000000000001E-2</v>
      </c>
      <c r="H73" s="242">
        <f>29400000/2</f>
        <v>14700000</v>
      </c>
      <c r="I73" s="220"/>
      <c r="J73" s="234"/>
      <c r="K73" s="218"/>
      <c r="L73" s="218"/>
      <c r="M73" s="234"/>
      <c r="N73" s="234"/>
      <c r="O73" s="218"/>
      <c r="P73" s="234"/>
      <c r="Q73" s="234"/>
      <c r="R73" s="234"/>
      <c r="S73" s="234"/>
      <c r="T73" s="234"/>
      <c r="U73" s="234"/>
      <c r="V73" s="218"/>
      <c r="W73" s="218"/>
      <c r="X73" s="218"/>
      <c r="Y73" s="234"/>
      <c r="Z73" s="218"/>
      <c r="AA73" s="218"/>
      <c r="AB73" s="234"/>
      <c r="AC73" s="218"/>
      <c r="AD73" s="218"/>
      <c r="AE73" s="225"/>
      <c r="AF73" s="249"/>
      <c r="AG73" s="249"/>
      <c r="AH73" s="249"/>
      <c r="AI73" s="249"/>
      <c r="AJ73" s="249"/>
      <c r="AK73" s="249"/>
    </row>
    <row r="74" spans="2:38" x14ac:dyDescent="0.2">
      <c r="B74" s="214" t="s">
        <v>223</v>
      </c>
      <c r="C74" s="214" t="s">
        <v>224</v>
      </c>
      <c r="D74" s="215" t="s">
        <v>227</v>
      </c>
      <c r="E74" s="216" t="s">
        <v>527</v>
      </c>
      <c r="F74" s="216" t="s">
        <v>251</v>
      </c>
      <c r="G74" s="248">
        <v>1</v>
      </c>
      <c r="H74" s="242">
        <v>45836000</v>
      </c>
      <c r="I74" s="220"/>
      <c r="J74" s="225"/>
      <c r="K74" s="218"/>
      <c r="L74" s="218"/>
      <c r="M74" s="234"/>
      <c r="N74" s="234"/>
      <c r="O74" s="218"/>
      <c r="P74" s="234"/>
      <c r="Q74" s="234"/>
      <c r="R74" s="234"/>
      <c r="S74" s="234"/>
      <c r="T74" s="234"/>
      <c r="U74" s="234"/>
      <c r="V74" s="220"/>
      <c r="W74" s="218"/>
      <c r="X74" s="218"/>
      <c r="Y74" s="234"/>
      <c r="Z74" s="220"/>
      <c r="AA74" s="218"/>
      <c r="AB74" s="234"/>
      <c r="AC74" s="218"/>
      <c r="AD74" s="218"/>
      <c r="AE74" s="225"/>
      <c r="AF74" s="249"/>
      <c r="AG74" s="249"/>
      <c r="AH74" s="249"/>
      <c r="AI74" s="249"/>
      <c r="AJ74" s="249"/>
      <c r="AK74" s="249"/>
    </row>
    <row r="75" spans="2:38" x14ac:dyDescent="0.2">
      <c r="B75" s="214" t="s">
        <v>223</v>
      </c>
      <c r="C75" s="214" t="s">
        <v>224</v>
      </c>
      <c r="D75" s="232" t="s">
        <v>228</v>
      </c>
      <c r="E75" s="216" t="s">
        <v>66</v>
      </c>
      <c r="F75" s="216" t="s">
        <v>226</v>
      </c>
      <c r="G75" s="248">
        <v>1.73196332E-2</v>
      </c>
      <c r="H75" s="242">
        <v>1850000</v>
      </c>
      <c r="I75" s="220"/>
      <c r="J75" s="234"/>
      <c r="K75" s="218"/>
      <c r="L75" s="218"/>
      <c r="M75" s="234"/>
      <c r="N75" s="234"/>
      <c r="O75" s="218"/>
      <c r="P75" s="234"/>
      <c r="Q75" s="234"/>
      <c r="R75" s="234"/>
      <c r="S75" s="234"/>
      <c r="T75" s="234"/>
      <c r="U75" s="234"/>
      <c r="V75" s="220"/>
      <c r="W75" s="218"/>
      <c r="X75" s="218"/>
      <c r="Y75" s="234"/>
      <c r="Z75" s="220"/>
      <c r="AA75" s="218"/>
      <c r="AB75" s="234"/>
      <c r="AC75" s="218"/>
      <c r="AD75" s="218"/>
      <c r="AE75" s="225"/>
      <c r="AF75" s="250"/>
      <c r="AG75" s="250"/>
      <c r="AH75" s="250"/>
      <c r="AI75" s="250"/>
      <c r="AJ75" s="250"/>
      <c r="AK75" s="250"/>
    </row>
    <row r="76" spans="2:38" x14ac:dyDescent="0.2">
      <c r="B76" s="214" t="s">
        <v>223</v>
      </c>
      <c r="C76" s="214" t="s">
        <v>224</v>
      </c>
      <c r="D76" s="215" t="s">
        <v>531</v>
      </c>
      <c r="E76" s="216" t="s">
        <v>527</v>
      </c>
      <c r="F76" s="216" t="s">
        <v>110</v>
      </c>
      <c r="G76" s="248">
        <v>1.145548</v>
      </c>
      <c r="H76" s="242">
        <v>18122286</v>
      </c>
      <c r="I76" s="220"/>
      <c r="J76" s="234"/>
      <c r="K76" s="218"/>
      <c r="L76" s="220"/>
      <c r="M76" s="234"/>
      <c r="N76" s="234"/>
      <c r="O76" s="220"/>
      <c r="P76" s="234"/>
      <c r="Q76" s="234"/>
      <c r="R76" s="234"/>
      <c r="S76" s="234"/>
      <c r="T76" s="234"/>
      <c r="U76" s="234"/>
      <c r="V76" s="220"/>
      <c r="W76" s="220"/>
      <c r="X76" s="220"/>
      <c r="Y76" s="234"/>
      <c r="Z76" s="220"/>
      <c r="AA76" s="220"/>
      <c r="AB76" s="234"/>
      <c r="AC76" s="220"/>
      <c r="AD76" s="218"/>
      <c r="AE76" s="225"/>
      <c r="AF76" s="250"/>
      <c r="AG76" s="250"/>
      <c r="AH76" s="250"/>
      <c r="AI76" s="250"/>
      <c r="AJ76" s="250"/>
      <c r="AK76" s="250"/>
    </row>
    <row r="77" spans="2:38" x14ac:dyDescent="0.2">
      <c r="B77" s="214" t="s">
        <v>223</v>
      </c>
      <c r="C77" s="214" t="s">
        <v>224</v>
      </c>
      <c r="D77" s="232" t="s">
        <v>229</v>
      </c>
      <c r="E77" s="216" t="s">
        <v>83</v>
      </c>
      <c r="F77" s="216" t="s">
        <v>226</v>
      </c>
      <c r="G77" s="248">
        <v>1.73196332E-2</v>
      </c>
      <c r="H77" s="242">
        <v>5600000</v>
      </c>
      <c r="I77" s="220"/>
      <c r="J77" s="234"/>
      <c r="K77" s="218"/>
      <c r="L77" s="220"/>
      <c r="M77" s="234"/>
      <c r="N77" s="234"/>
      <c r="O77" s="220"/>
      <c r="P77" s="234"/>
      <c r="Q77" s="234"/>
      <c r="R77" s="234"/>
      <c r="S77" s="234"/>
      <c r="T77" s="234"/>
      <c r="U77" s="234"/>
      <c r="V77" s="220"/>
      <c r="W77" s="220"/>
      <c r="X77" s="220"/>
      <c r="Y77" s="234"/>
      <c r="Z77" s="220"/>
      <c r="AA77" s="220"/>
      <c r="AB77" s="234"/>
      <c r="AC77" s="220"/>
      <c r="AD77" s="220"/>
      <c r="AE77" s="234"/>
      <c r="AF77" s="250"/>
      <c r="AG77" s="250"/>
      <c r="AH77" s="250"/>
      <c r="AI77" s="250"/>
      <c r="AJ77" s="250"/>
      <c r="AK77" s="250"/>
    </row>
    <row r="78" spans="2:38" x14ac:dyDescent="0.2">
      <c r="B78" s="214" t="s">
        <v>223</v>
      </c>
      <c r="C78" s="214" t="s">
        <v>224</v>
      </c>
      <c r="D78" s="232" t="s">
        <v>230</v>
      </c>
      <c r="E78" s="216" t="s">
        <v>83</v>
      </c>
      <c r="F78" s="216" t="s">
        <v>231</v>
      </c>
      <c r="G78" s="248">
        <v>1.73196332E-2</v>
      </c>
      <c r="H78" s="242">
        <v>3400000</v>
      </c>
      <c r="I78" s="220"/>
      <c r="J78" s="234"/>
      <c r="K78" s="218"/>
      <c r="L78" s="220"/>
      <c r="M78" s="234"/>
      <c r="N78" s="234"/>
      <c r="O78" s="220"/>
      <c r="P78" s="234"/>
      <c r="Q78" s="234"/>
      <c r="R78" s="234"/>
      <c r="S78" s="234"/>
      <c r="T78" s="234"/>
      <c r="U78" s="234"/>
      <c r="V78" s="220"/>
      <c r="W78" s="220"/>
      <c r="X78" s="220"/>
      <c r="Y78" s="234"/>
      <c r="Z78" s="220"/>
      <c r="AA78" s="220"/>
      <c r="AB78" s="234"/>
      <c r="AC78" s="220"/>
      <c r="AD78" s="220"/>
      <c r="AE78" s="234"/>
      <c r="AF78" s="250"/>
      <c r="AG78" s="250"/>
      <c r="AH78" s="250"/>
      <c r="AI78" s="250"/>
      <c r="AJ78" s="250"/>
      <c r="AK78" s="250"/>
    </row>
    <row r="79" spans="2:38" x14ac:dyDescent="0.2">
      <c r="B79" s="214" t="s">
        <v>223</v>
      </c>
      <c r="C79" s="214" t="s">
        <v>224</v>
      </c>
      <c r="D79" s="232" t="s">
        <v>232</v>
      </c>
      <c r="E79" s="216" t="s">
        <v>83</v>
      </c>
      <c r="F79" s="216" t="s">
        <v>226</v>
      </c>
      <c r="G79" s="248">
        <v>1.73196332E-2</v>
      </c>
      <c r="H79" s="242">
        <v>1300000</v>
      </c>
      <c r="I79" s="220"/>
      <c r="J79" s="234"/>
      <c r="K79" s="218"/>
      <c r="L79" s="220"/>
      <c r="M79" s="234"/>
      <c r="N79" s="234"/>
      <c r="O79" s="220"/>
      <c r="P79" s="234"/>
      <c r="Q79" s="234"/>
      <c r="R79" s="234"/>
      <c r="S79" s="234"/>
      <c r="T79" s="234"/>
      <c r="U79" s="234"/>
      <c r="V79" s="220"/>
      <c r="W79" s="220"/>
      <c r="X79" s="220"/>
      <c r="Y79" s="234"/>
      <c r="Z79" s="220"/>
      <c r="AA79" s="220"/>
      <c r="AB79" s="234"/>
      <c r="AC79" s="220"/>
      <c r="AD79" s="220"/>
      <c r="AE79" s="234"/>
      <c r="AF79" s="250"/>
      <c r="AG79" s="250"/>
      <c r="AH79" s="250"/>
      <c r="AI79" s="250"/>
      <c r="AJ79" s="250"/>
      <c r="AK79" s="250"/>
    </row>
    <row r="80" spans="2:38" x14ac:dyDescent="0.2">
      <c r="B80" s="214" t="s">
        <v>0</v>
      </c>
      <c r="C80" s="214" t="s">
        <v>224</v>
      </c>
      <c r="D80" s="215" t="s">
        <v>233</v>
      </c>
      <c r="E80" s="216" t="s">
        <v>83</v>
      </c>
      <c r="F80" s="216" t="s">
        <v>226</v>
      </c>
      <c r="G80" s="248">
        <v>1.73196332E-2</v>
      </c>
      <c r="H80" s="242">
        <v>18139000</v>
      </c>
      <c r="I80" s="220"/>
      <c r="J80" s="225"/>
      <c r="K80" s="218"/>
      <c r="L80" s="218"/>
      <c r="M80" s="234"/>
      <c r="N80" s="234"/>
      <c r="O80" s="225"/>
      <c r="P80" s="234"/>
      <c r="Q80" s="234"/>
      <c r="R80" s="234"/>
      <c r="S80" s="234"/>
      <c r="T80" s="234"/>
      <c r="U80" s="234"/>
      <c r="V80" s="220"/>
      <c r="W80" s="220"/>
      <c r="X80" s="220"/>
      <c r="Y80" s="234"/>
      <c r="Z80" s="220"/>
      <c r="AA80" s="220"/>
      <c r="AB80" s="234"/>
      <c r="AC80" s="220"/>
      <c r="AD80" s="220"/>
      <c r="AE80" s="225"/>
      <c r="AF80" s="250"/>
      <c r="AG80" s="250"/>
      <c r="AH80" s="250"/>
      <c r="AI80" s="250"/>
      <c r="AJ80" s="250"/>
      <c r="AK80" s="250"/>
    </row>
    <row r="81" spans="2:38" x14ac:dyDescent="0.2">
      <c r="B81" s="214" t="s">
        <v>223</v>
      </c>
      <c r="C81" s="214" t="s">
        <v>234</v>
      </c>
      <c r="D81" s="232" t="s">
        <v>235</v>
      </c>
      <c r="E81" s="216" t="s">
        <v>83</v>
      </c>
      <c r="F81" s="216" t="s">
        <v>236</v>
      </c>
      <c r="G81" s="248">
        <v>3.0039132000000001E-3</v>
      </c>
      <c r="H81" s="242">
        <v>5640800</v>
      </c>
      <c r="I81" s="220"/>
      <c r="J81" s="234"/>
      <c r="K81" s="218"/>
      <c r="L81" s="218"/>
      <c r="M81" s="234"/>
      <c r="N81" s="234"/>
      <c r="O81" s="225"/>
      <c r="P81" s="234"/>
      <c r="Q81" s="234"/>
      <c r="R81" s="234"/>
      <c r="S81" s="234"/>
      <c r="T81" s="234"/>
      <c r="U81" s="234"/>
      <c r="V81" s="220"/>
      <c r="W81" s="218"/>
      <c r="X81" s="220"/>
      <c r="Y81" s="234"/>
      <c r="Z81" s="220"/>
      <c r="AA81" s="218"/>
      <c r="AB81" s="225"/>
      <c r="AC81" s="220"/>
      <c r="AD81" s="218"/>
      <c r="AE81" s="234"/>
      <c r="AF81" s="250"/>
      <c r="AG81" s="250"/>
      <c r="AH81" s="250"/>
      <c r="AI81" s="250"/>
      <c r="AJ81" s="250"/>
      <c r="AK81" s="250"/>
    </row>
    <row r="82" spans="2:38" x14ac:dyDescent="0.2">
      <c r="B82" s="214" t="s">
        <v>223</v>
      </c>
      <c r="C82" s="214" t="s">
        <v>237</v>
      </c>
      <c r="D82" s="232" t="s">
        <v>238</v>
      </c>
      <c r="E82" s="216" t="s">
        <v>83</v>
      </c>
      <c r="F82" s="216" t="s">
        <v>239</v>
      </c>
      <c r="G82" s="248">
        <v>1.4502001E-2</v>
      </c>
      <c r="H82" s="242">
        <v>3658337</v>
      </c>
      <c r="I82" s="220"/>
      <c r="J82" s="225"/>
      <c r="K82" s="218"/>
      <c r="L82" s="220"/>
      <c r="M82" s="234"/>
      <c r="N82" s="234"/>
      <c r="O82" s="234"/>
      <c r="P82" s="234"/>
      <c r="Q82" s="234"/>
      <c r="R82" s="234"/>
      <c r="S82" s="234"/>
      <c r="T82" s="234"/>
      <c r="U82" s="234"/>
      <c r="V82" s="220"/>
      <c r="W82" s="220"/>
      <c r="X82" s="220"/>
      <c r="Y82" s="234"/>
      <c r="Z82" s="220"/>
      <c r="AA82" s="220"/>
      <c r="AB82" s="234"/>
      <c r="AC82" s="220"/>
      <c r="AD82" s="220"/>
      <c r="AE82" s="225"/>
      <c r="AF82" s="250"/>
      <c r="AG82" s="250"/>
      <c r="AH82" s="250"/>
      <c r="AI82" s="250"/>
      <c r="AJ82" s="250"/>
      <c r="AK82" s="250"/>
    </row>
    <row r="83" spans="2:38" x14ac:dyDescent="0.2">
      <c r="B83" s="214" t="s">
        <v>223</v>
      </c>
      <c r="C83" s="214" t="s">
        <v>240</v>
      </c>
      <c r="D83" s="232" t="s">
        <v>241</v>
      </c>
      <c r="E83" s="216" t="s">
        <v>242</v>
      </c>
      <c r="F83" s="216" t="s">
        <v>243</v>
      </c>
      <c r="G83" s="248">
        <v>3.5392253200000001E-2</v>
      </c>
      <c r="H83" s="242">
        <v>611500</v>
      </c>
      <c r="I83" s="220"/>
      <c r="J83" s="234"/>
      <c r="K83" s="218"/>
      <c r="L83" s="220"/>
      <c r="M83" s="234"/>
      <c r="N83" s="234"/>
      <c r="O83" s="234"/>
      <c r="P83" s="234"/>
      <c r="Q83" s="234"/>
      <c r="R83" s="234"/>
      <c r="S83" s="234"/>
      <c r="T83" s="234"/>
      <c r="U83" s="234"/>
      <c r="V83" s="220"/>
      <c r="W83" s="220"/>
      <c r="X83" s="220"/>
      <c r="Y83" s="234"/>
      <c r="Z83" s="220"/>
      <c r="AA83" s="220"/>
      <c r="AB83" s="234"/>
      <c r="AC83" s="220"/>
      <c r="AD83" s="220"/>
      <c r="AE83" s="234"/>
      <c r="AF83" s="250"/>
      <c r="AG83" s="250"/>
      <c r="AH83" s="250"/>
      <c r="AI83" s="250"/>
      <c r="AJ83" s="250"/>
      <c r="AK83" s="250"/>
    </row>
    <row r="84" spans="2:38" x14ac:dyDescent="0.2">
      <c r="B84" s="214" t="s">
        <v>223</v>
      </c>
      <c r="C84" s="214" t="s">
        <v>244</v>
      </c>
      <c r="D84" s="232" t="s">
        <v>245</v>
      </c>
      <c r="E84" s="216" t="s">
        <v>83</v>
      </c>
      <c r="F84" s="216" t="s">
        <v>246</v>
      </c>
      <c r="G84" s="248">
        <v>3.5392253200000001E-2</v>
      </c>
      <c r="H84" s="242">
        <v>10554757</v>
      </c>
      <c r="I84" s="220"/>
      <c r="J84" s="234"/>
      <c r="K84" s="218"/>
      <c r="L84" s="218"/>
      <c r="M84" s="234"/>
      <c r="N84" s="234"/>
      <c r="O84" s="225"/>
      <c r="P84" s="234"/>
      <c r="Q84" s="234"/>
      <c r="R84" s="234"/>
      <c r="S84" s="234"/>
      <c r="T84" s="234"/>
      <c r="U84" s="234"/>
      <c r="V84" s="220"/>
      <c r="W84" s="218"/>
      <c r="X84" s="220"/>
      <c r="Y84" s="234"/>
      <c r="Z84" s="220"/>
      <c r="AA84" s="220"/>
      <c r="AB84" s="234"/>
      <c r="AC84" s="220"/>
      <c r="AD84" s="220"/>
      <c r="AE84" s="234"/>
      <c r="AF84" s="250"/>
      <c r="AG84" s="250"/>
      <c r="AH84" s="250"/>
      <c r="AI84" s="250"/>
      <c r="AJ84" s="250"/>
      <c r="AK84" s="250"/>
    </row>
    <row r="85" spans="2:38" ht="35.25" customHeight="1" x14ac:dyDescent="0.2">
      <c r="B85" s="214" t="s">
        <v>223</v>
      </c>
      <c r="C85" s="214" t="s">
        <v>247</v>
      </c>
      <c r="D85" s="215" t="s">
        <v>248</v>
      </c>
      <c r="E85" s="216" t="s">
        <v>527</v>
      </c>
      <c r="F85" s="216" t="s">
        <v>110</v>
      </c>
      <c r="G85" s="248">
        <v>1.145548</v>
      </c>
      <c r="H85" s="242">
        <v>4400000</v>
      </c>
      <c r="I85" s="220"/>
      <c r="J85" s="234"/>
      <c r="K85" s="218"/>
      <c r="L85" s="220"/>
      <c r="M85" s="234"/>
      <c r="N85" s="234"/>
      <c r="O85" s="234"/>
      <c r="P85" s="234"/>
      <c r="Q85" s="234"/>
      <c r="R85" s="234"/>
      <c r="S85" s="234"/>
      <c r="T85" s="234"/>
      <c r="U85" s="234"/>
      <c r="V85" s="220"/>
      <c r="W85" s="220"/>
      <c r="X85" s="220"/>
      <c r="Y85" s="234"/>
      <c r="Z85" s="220"/>
      <c r="AA85" s="220"/>
      <c r="AB85" s="225"/>
      <c r="AC85" s="220"/>
      <c r="AD85" s="220"/>
      <c r="AE85" s="234"/>
      <c r="AF85" s="250"/>
      <c r="AG85" s="250"/>
      <c r="AH85" s="250"/>
      <c r="AI85" s="250"/>
      <c r="AJ85" s="250"/>
      <c r="AK85" s="250"/>
    </row>
    <row r="86" spans="2:38" ht="18.75" customHeight="1" x14ac:dyDescent="0.2">
      <c r="B86" s="214" t="s">
        <v>223</v>
      </c>
      <c r="C86" s="214" t="s">
        <v>249</v>
      </c>
      <c r="D86" s="232" t="s">
        <v>250</v>
      </c>
      <c r="E86" s="216" t="s">
        <v>83</v>
      </c>
      <c r="F86" s="216" t="s">
        <v>251</v>
      </c>
      <c r="G86" s="248">
        <v>1</v>
      </c>
      <c r="H86" s="242">
        <v>2448250</v>
      </c>
      <c r="I86" s="220"/>
      <c r="J86" s="225"/>
      <c r="K86" s="218"/>
      <c r="L86" s="220"/>
      <c r="M86" s="234"/>
      <c r="N86" s="234"/>
      <c r="O86" s="234"/>
      <c r="P86" s="234"/>
      <c r="Q86" s="234"/>
      <c r="R86" s="234"/>
      <c r="S86" s="234"/>
      <c r="T86" s="234"/>
      <c r="U86" s="234"/>
      <c r="V86" s="220"/>
      <c r="W86" s="220"/>
      <c r="X86" s="220"/>
      <c r="Y86" s="234"/>
      <c r="Z86" s="220"/>
      <c r="AA86" s="220"/>
      <c r="AB86" s="234"/>
      <c r="AC86" s="220"/>
      <c r="AD86" s="220"/>
      <c r="AE86" s="234"/>
      <c r="AF86" s="250"/>
      <c r="AG86" s="250"/>
      <c r="AH86" s="250"/>
      <c r="AI86" s="250"/>
      <c r="AJ86" s="250"/>
      <c r="AK86" s="250"/>
    </row>
    <row r="87" spans="2:38" ht="18.75" customHeight="1" x14ac:dyDescent="0.2">
      <c r="B87" s="214" t="s">
        <v>252</v>
      </c>
      <c r="C87" s="214" t="s">
        <v>253</v>
      </c>
      <c r="D87" s="232" t="s">
        <v>254</v>
      </c>
      <c r="E87" s="216" t="s">
        <v>83</v>
      </c>
      <c r="F87" s="216" t="s">
        <v>255</v>
      </c>
      <c r="G87" s="248">
        <v>0.15945899999999999</v>
      </c>
      <c r="H87" s="242">
        <v>2323065</v>
      </c>
      <c r="I87" s="220"/>
      <c r="J87" s="225"/>
      <c r="K87" s="218"/>
      <c r="L87" s="218"/>
      <c r="M87" s="225"/>
      <c r="N87" s="225"/>
      <c r="O87" s="225"/>
      <c r="P87" s="234"/>
      <c r="Q87" s="234"/>
      <c r="R87" s="225">
        <f>'Data in Local Currency'!G87*'Data in Local Currency'!R87</f>
        <v>0</v>
      </c>
      <c r="S87" s="234"/>
      <c r="T87" s="234"/>
      <c r="U87" s="225"/>
      <c r="V87" s="218"/>
      <c r="W87" s="218"/>
      <c r="X87" s="218"/>
      <c r="Y87" s="234"/>
      <c r="Z87" s="218"/>
      <c r="AA87" s="218"/>
      <c r="AB87" s="234"/>
      <c r="AC87" s="218"/>
      <c r="AD87" s="218"/>
      <c r="AE87" s="225"/>
      <c r="AF87" s="249"/>
      <c r="AG87" s="249"/>
      <c r="AH87" s="250"/>
      <c r="AI87" s="250"/>
      <c r="AJ87" s="250"/>
      <c r="AK87" s="250"/>
    </row>
    <row r="88" spans="2:38" ht="18.75" customHeight="1" x14ac:dyDescent="0.2">
      <c r="B88" s="214" t="s">
        <v>252</v>
      </c>
      <c r="C88" s="214" t="s">
        <v>256</v>
      </c>
      <c r="D88" s="232" t="s">
        <v>257</v>
      </c>
      <c r="E88" s="216" t="s">
        <v>527</v>
      </c>
      <c r="F88" s="216" t="s">
        <v>110</v>
      </c>
      <c r="G88" s="248">
        <v>1.145548</v>
      </c>
      <c r="H88" s="242">
        <v>5558363</v>
      </c>
      <c r="I88" s="220"/>
      <c r="J88" s="225"/>
      <c r="K88" s="218"/>
      <c r="L88" s="220"/>
      <c r="M88" s="234"/>
      <c r="N88" s="234"/>
      <c r="O88" s="234"/>
      <c r="P88" s="234"/>
      <c r="Q88" s="234"/>
      <c r="R88" s="234"/>
      <c r="S88" s="234"/>
      <c r="T88" s="234"/>
      <c r="U88" s="234"/>
      <c r="V88" s="220"/>
      <c r="W88" s="218"/>
      <c r="X88" s="220"/>
      <c r="Y88" s="234"/>
      <c r="Z88" s="220"/>
      <c r="AA88" s="220"/>
      <c r="AB88" s="234"/>
      <c r="AC88" s="220"/>
      <c r="AD88" s="218"/>
      <c r="AE88" s="225"/>
      <c r="AF88" s="249"/>
      <c r="AG88" s="249"/>
      <c r="AH88" s="249"/>
      <c r="AI88" s="249"/>
      <c r="AJ88" s="249"/>
      <c r="AK88" s="249"/>
    </row>
    <row r="89" spans="2:38" x14ac:dyDescent="0.2">
      <c r="B89" s="214" t="s">
        <v>252</v>
      </c>
      <c r="C89" s="214" t="s">
        <v>256</v>
      </c>
      <c r="D89" s="232" t="s">
        <v>258</v>
      </c>
      <c r="E89" s="216" t="s">
        <v>66</v>
      </c>
      <c r="F89" s="216" t="s">
        <v>259</v>
      </c>
      <c r="G89" s="248">
        <v>0.53840728360000001</v>
      </c>
      <c r="H89" s="242">
        <v>4979760</v>
      </c>
      <c r="I89" s="220"/>
      <c r="J89" s="234"/>
      <c r="K89" s="218"/>
      <c r="L89" s="220"/>
      <c r="M89" s="234"/>
      <c r="N89" s="234"/>
      <c r="O89" s="234"/>
      <c r="P89" s="234"/>
      <c r="Q89" s="234"/>
      <c r="R89" s="234"/>
      <c r="S89" s="234"/>
      <c r="T89" s="225">
        <f>'Data in Local Currency'!T89*'Data in Local Currency'!G89</f>
        <v>0</v>
      </c>
      <c r="U89" s="225"/>
      <c r="V89" s="218"/>
      <c r="W89" s="218"/>
      <c r="X89" s="220"/>
      <c r="Y89" s="234"/>
      <c r="Z89" s="220"/>
      <c r="AA89" s="218"/>
      <c r="AB89" s="234"/>
      <c r="AC89" s="220"/>
      <c r="AD89" s="218"/>
      <c r="AE89" s="225"/>
      <c r="AF89" s="250"/>
      <c r="AG89" s="250"/>
      <c r="AH89" s="250"/>
      <c r="AI89" s="250"/>
      <c r="AJ89" s="250"/>
      <c r="AK89" s="250"/>
    </row>
    <row r="90" spans="2:38" x14ac:dyDescent="0.2">
      <c r="B90" s="214" t="s">
        <v>252</v>
      </c>
      <c r="C90" s="214" t="s">
        <v>260</v>
      </c>
      <c r="D90" s="232" t="s">
        <v>261</v>
      </c>
      <c r="E90" s="216" t="s">
        <v>66</v>
      </c>
      <c r="F90" s="216" t="s">
        <v>110</v>
      </c>
      <c r="G90" s="248">
        <v>1.0522549824</v>
      </c>
      <c r="H90" s="242">
        <v>12840000</v>
      </c>
      <c r="I90" s="220"/>
      <c r="J90" s="234"/>
      <c r="K90" s="218"/>
      <c r="L90" s="220"/>
      <c r="M90" s="234"/>
      <c r="N90" s="234"/>
      <c r="O90" s="234"/>
      <c r="P90" s="234"/>
      <c r="Q90" s="234"/>
      <c r="R90" s="234"/>
      <c r="S90" s="234"/>
      <c r="T90" s="234"/>
      <c r="U90" s="234"/>
      <c r="V90" s="220"/>
      <c r="W90" s="218"/>
      <c r="X90" s="220"/>
      <c r="Y90" s="234"/>
      <c r="Z90" s="220"/>
      <c r="AA90" s="220"/>
      <c r="AB90" s="234"/>
      <c r="AC90" s="220"/>
      <c r="AD90" s="220"/>
      <c r="AE90" s="234"/>
      <c r="AF90" s="250"/>
      <c r="AG90" s="250"/>
      <c r="AH90" s="250"/>
      <c r="AI90" s="250"/>
      <c r="AJ90" s="250"/>
      <c r="AK90" s="250"/>
    </row>
    <row r="91" spans="2:38" ht="40.5" customHeight="1" x14ac:dyDescent="0.2">
      <c r="B91" s="214" t="s">
        <v>252</v>
      </c>
      <c r="C91" s="214" t="s">
        <v>262</v>
      </c>
      <c r="D91" s="215" t="s">
        <v>263</v>
      </c>
      <c r="E91" s="216" t="s">
        <v>83</v>
      </c>
      <c r="F91" s="216" t="s">
        <v>110</v>
      </c>
      <c r="G91" s="248">
        <v>1.1998614888000001</v>
      </c>
      <c r="H91" s="242">
        <v>1688558</v>
      </c>
      <c r="I91" s="220"/>
      <c r="J91" s="225"/>
      <c r="K91" s="218"/>
      <c r="L91" s="218"/>
      <c r="M91" s="234"/>
      <c r="N91" s="234"/>
      <c r="O91" s="225"/>
      <c r="P91" s="234"/>
      <c r="Q91" s="234"/>
      <c r="R91" s="234"/>
      <c r="S91" s="234"/>
      <c r="T91" s="234"/>
      <c r="U91" s="234"/>
      <c r="V91" s="220"/>
      <c r="W91" s="218"/>
      <c r="X91" s="218"/>
      <c r="Y91" s="234"/>
      <c r="Z91" s="220"/>
      <c r="AA91" s="218"/>
      <c r="AB91" s="258"/>
      <c r="AC91" s="218"/>
      <c r="AD91" s="218"/>
      <c r="AE91" s="225"/>
      <c r="AF91" s="249"/>
      <c r="AG91" s="249"/>
      <c r="AH91" s="249"/>
      <c r="AI91" s="249"/>
      <c r="AJ91" s="249"/>
      <c r="AK91" s="249"/>
    </row>
    <row r="92" spans="2:38" x14ac:dyDescent="0.2">
      <c r="B92" s="214" t="s">
        <v>252</v>
      </c>
      <c r="C92" s="214" t="s">
        <v>264</v>
      </c>
      <c r="D92" s="232" t="s">
        <v>265</v>
      </c>
      <c r="E92" s="216" t="s">
        <v>83</v>
      </c>
      <c r="F92" s="216" t="s">
        <v>110</v>
      </c>
      <c r="G92" s="248">
        <v>1.1998614888000001</v>
      </c>
      <c r="H92" s="242">
        <v>12029678</v>
      </c>
      <c r="I92" s="220"/>
      <c r="J92" s="225"/>
      <c r="K92" s="218"/>
      <c r="L92" s="218"/>
      <c r="M92" s="234"/>
      <c r="N92" s="234"/>
      <c r="O92" s="225"/>
      <c r="P92" s="234"/>
      <c r="Q92" s="234"/>
      <c r="R92" s="234"/>
      <c r="S92" s="234"/>
      <c r="T92" s="234"/>
      <c r="U92" s="234"/>
      <c r="V92" s="220"/>
      <c r="W92" s="218"/>
      <c r="X92" s="218"/>
      <c r="Y92" s="234"/>
      <c r="Z92" s="218"/>
      <c r="AA92" s="218"/>
      <c r="AB92" s="258"/>
      <c r="AC92" s="218"/>
      <c r="AD92" s="218"/>
      <c r="AE92" s="225"/>
      <c r="AF92" s="249"/>
      <c r="AG92" s="249"/>
      <c r="AH92" s="249"/>
      <c r="AI92" s="249"/>
      <c r="AJ92" s="249"/>
      <c r="AK92" s="249"/>
      <c r="AL92" s="170"/>
    </row>
    <row r="93" spans="2:38" x14ac:dyDescent="0.2">
      <c r="B93" s="214" t="s">
        <v>252</v>
      </c>
      <c r="C93" s="214" t="s">
        <v>264</v>
      </c>
      <c r="D93" s="232" t="s">
        <v>267</v>
      </c>
      <c r="E93" s="216" t="s">
        <v>83</v>
      </c>
      <c r="F93" s="216" t="s">
        <v>110</v>
      </c>
      <c r="G93" s="248">
        <v>1.1998614888000001</v>
      </c>
      <c r="H93" s="242">
        <v>15404230</v>
      </c>
      <c r="I93" s="220"/>
      <c r="J93" s="225"/>
      <c r="K93" s="218"/>
      <c r="L93" s="218"/>
      <c r="M93" s="234"/>
      <c r="N93" s="234"/>
      <c r="O93" s="225"/>
      <c r="P93" s="234"/>
      <c r="Q93" s="234"/>
      <c r="R93" s="234"/>
      <c r="S93" s="234"/>
      <c r="T93" s="234"/>
      <c r="U93" s="234"/>
      <c r="V93" s="220"/>
      <c r="W93" s="218"/>
      <c r="X93" s="218"/>
      <c r="Y93" s="234"/>
      <c r="Z93" s="218"/>
      <c r="AA93" s="218"/>
      <c r="AB93" s="258"/>
      <c r="AC93" s="218"/>
      <c r="AD93" s="218"/>
      <c r="AE93" s="225"/>
      <c r="AF93" s="249"/>
      <c r="AG93" s="249"/>
      <c r="AH93" s="249"/>
      <c r="AI93" s="249"/>
      <c r="AJ93" s="249"/>
      <c r="AK93" s="249"/>
      <c r="AL93" s="170"/>
    </row>
    <row r="94" spans="2:38" x14ac:dyDescent="0.2">
      <c r="B94" s="214" t="s">
        <v>252</v>
      </c>
      <c r="C94" s="214" t="s">
        <v>264</v>
      </c>
      <c r="D94" s="232" t="s">
        <v>268</v>
      </c>
      <c r="E94" s="216" t="s">
        <v>527</v>
      </c>
      <c r="F94" s="216" t="s">
        <v>110</v>
      </c>
      <c r="G94" s="248">
        <v>1.145548</v>
      </c>
      <c r="H94" s="242">
        <v>24100000</v>
      </c>
      <c r="I94" s="220"/>
      <c r="J94" s="225"/>
      <c r="K94" s="218"/>
      <c r="L94" s="218"/>
      <c r="M94" s="225"/>
      <c r="N94" s="225"/>
      <c r="O94" s="225"/>
      <c r="P94" s="234"/>
      <c r="Q94" s="234"/>
      <c r="R94" s="234"/>
      <c r="S94" s="234"/>
      <c r="T94" s="234"/>
      <c r="U94" s="234"/>
      <c r="V94" s="218"/>
      <c r="W94" s="218"/>
      <c r="X94" s="218"/>
      <c r="Y94" s="234"/>
      <c r="Z94" s="220"/>
      <c r="AA94" s="218"/>
      <c r="AB94" s="258"/>
      <c r="AC94" s="218"/>
      <c r="AD94" s="218"/>
      <c r="AE94" s="225"/>
      <c r="AF94" s="249"/>
      <c r="AG94" s="249"/>
      <c r="AH94" s="249"/>
      <c r="AI94" s="249"/>
      <c r="AJ94" s="249"/>
      <c r="AK94" s="249"/>
      <c r="AL94" s="171"/>
    </row>
    <row r="95" spans="2:38" x14ac:dyDescent="0.2">
      <c r="B95" s="214" t="s">
        <v>252</v>
      </c>
      <c r="C95" s="214" t="s">
        <v>270</v>
      </c>
      <c r="D95" s="232" t="s">
        <v>271</v>
      </c>
      <c r="E95" s="216" t="s">
        <v>83</v>
      </c>
      <c r="F95" s="216" t="s">
        <v>110</v>
      </c>
      <c r="G95" s="248">
        <v>1.1998614888000001</v>
      </c>
      <c r="H95" s="242">
        <v>5343000</v>
      </c>
      <c r="I95" s="220"/>
      <c r="J95" s="225"/>
      <c r="K95" s="218"/>
      <c r="L95" s="220"/>
      <c r="M95" s="234"/>
      <c r="N95" s="234"/>
      <c r="O95" s="234"/>
      <c r="P95" s="234"/>
      <c r="Q95" s="234"/>
      <c r="R95" s="234"/>
      <c r="S95" s="234"/>
      <c r="T95" s="234"/>
      <c r="U95" s="234"/>
      <c r="V95" s="220"/>
      <c r="W95" s="220"/>
      <c r="X95" s="220"/>
      <c r="Y95" s="234"/>
      <c r="Z95" s="220"/>
      <c r="AA95" s="220"/>
      <c r="AB95" s="259"/>
      <c r="AC95" s="220"/>
      <c r="AD95" s="220"/>
      <c r="AE95" s="234"/>
      <c r="AF95" s="250"/>
      <c r="AG95" s="250"/>
      <c r="AH95" s="250"/>
      <c r="AI95" s="250"/>
      <c r="AJ95" s="250"/>
      <c r="AK95" s="250"/>
    </row>
    <row r="96" spans="2:38" x14ac:dyDescent="0.2">
      <c r="B96" s="214" t="s">
        <v>252</v>
      </c>
      <c r="C96" s="214" t="s">
        <v>272</v>
      </c>
      <c r="D96" s="215" t="s">
        <v>273</v>
      </c>
      <c r="E96" s="216" t="s">
        <v>527</v>
      </c>
      <c r="F96" s="216" t="s">
        <v>110</v>
      </c>
      <c r="G96" s="248">
        <v>1.145548</v>
      </c>
      <c r="H96" s="242">
        <v>2343000</v>
      </c>
      <c r="I96" s="220"/>
      <c r="J96" s="234"/>
      <c r="K96" s="218"/>
      <c r="L96" s="220"/>
      <c r="M96" s="234"/>
      <c r="N96" s="234"/>
      <c r="O96" s="234"/>
      <c r="P96" s="234"/>
      <c r="Q96" s="234"/>
      <c r="R96" s="234"/>
      <c r="S96" s="234"/>
      <c r="T96" s="234"/>
      <c r="U96" s="234"/>
      <c r="V96" s="220"/>
      <c r="W96" s="220"/>
      <c r="X96" s="220"/>
      <c r="Y96" s="234"/>
      <c r="Z96" s="220"/>
      <c r="AA96" s="220"/>
      <c r="AB96" s="258"/>
      <c r="AC96" s="220"/>
      <c r="AD96" s="220"/>
      <c r="AE96" s="234"/>
      <c r="AF96" s="250"/>
      <c r="AG96" s="250"/>
      <c r="AH96" s="250"/>
      <c r="AI96" s="250"/>
      <c r="AJ96" s="250"/>
      <c r="AK96" s="250"/>
    </row>
    <row r="97" spans="2:38" x14ac:dyDescent="0.2">
      <c r="B97" s="214" t="s">
        <v>252</v>
      </c>
      <c r="C97" s="214" t="s">
        <v>274</v>
      </c>
      <c r="D97" s="215" t="s">
        <v>275</v>
      </c>
      <c r="E97" s="216" t="s">
        <v>527</v>
      </c>
      <c r="F97" s="216" t="s">
        <v>110</v>
      </c>
      <c r="G97" s="248">
        <v>1.145548</v>
      </c>
      <c r="H97" s="242">
        <v>67981000</v>
      </c>
      <c r="I97" s="220"/>
      <c r="J97" s="234"/>
      <c r="K97" s="218"/>
      <c r="L97" s="220"/>
      <c r="M97" s="234"/>
      <c r="N97" s="234"/>
      <c r="O97" s="234"/>
      <c r="P97" s="234"/>
      <c r="Q97" s="234"/>
      <c r="R97" s="234"/>
      <c r="S97" s="234"/>
      <c r="T97" s="234"/>
      <c r="U97" s="234"/>
      <c r="V97" s="220"/>
      <c r="W97" s="220"/>
      <c r="X97" s="220"/>
      <c r="Y97" s="234"/>
      <c r="Z97" s="220"/>
      <c r="AA97" s="220"/>
      <c r="AB97" s="225"/>
      <c r="AC97" s="220"/>
      <c r="AD97" s="220"/>
      <c r="AE97" s="234"/>
      <c r="AF97" s="250"/>
      <c r="AG97" s="250"/>
      <c r="AH97" s="250"/>
      <c r="AI97" s="250"/>
      <c r="AJ97" s="250"/>
      <c r="AK97" s="250"/>
    </row>
    <row r="98" spans="2:38" x14ac:dyDescent="0.2">
      <c r="B98" s="214" t="s">
        <v>252</v>
      </c>
      <c r="C98" s="214" t="s">
        <v>274</v>
      </c>
      <c r="D98" s="215" t="s">
        <v>276</v>
      </c>
      <c r="E98" s="216" t="s">
        <v>527</v>
      </c>
      <c r="F98" s="216" t="s">
        <v>110</v>
      </c>
      <c r="G98" s="248">
        <v>1.145548</v>
      </c>
      <c r="H98" s="242">
        <v>16372000</v>
      </c>
      <c r="I98" s="220"/>
      <c r="J98" s="234"/>
      <c r="K98" s="218"/>
      <c r="L98" s="220"/>
      <c r="M98" s="234"/>
      <c r="N98" s="234"/>
      <c r="O98" s="234"/>
      <c r="P98" s="234"/>
      <c r="Q98" s="234"/>
      <c r="R98" s="234"/>
      <c r="S98" s="234"/>
      <c r="T98" s="234"/>
      <c r="U98" s="234"/>
      <c r="V98" s="220"/>
      <c r="W98" s="220"/>
      <c r="X98" s="220"/>
      <c r="Y98" s="234"/>
      <c r="Z98" s="220"/>
      <c r="AA98" s="220"/>
      <c r="AB98" s="225"/>
      <c r="AC98" s="220"/>
      <c r="AD98" s="220"/>
      <c r="AE98" s="234"/>
      <c r="AF98" s="250"/>
      <c r="AG98" s="250"/>
      <c r="AH98" s="250"/>
      <c r="AI98" s="250"/>
      <c r="AJ98" s="250"/>
      <c r="AK98" s="250"/>
    </row>
    <row r="99" spans="2:38" x14ac:dyDescent="0.2">
      <c r="B99" s="214" t="s">
        <v>252</v>
      </c>
      <c r="C99" s="214" t="s">
        <v>274</v>
      </c>
      <c r="D99" s="215" t="s">
        <v>277</v>
      </c>
      <c r="E99" s="216" t="s">
        <v>527</v>
      </c>
      <c r="F99" s="216" t="s">
        <v>110</v>
      </c>
      <c r="G99" s="248">
        <v>1.145548</v>
      </c>
      <c r="H99" s="242">
        <v>13426000</v>
      </c>
      <c r="I99" s="220"/>
      <c r="J99" s="234"/>
      <c r="K99" s="218"/>
      <c r="L99" s="220"/>
      <c r="M99" s="234"/>
      <c r="N99" s="234"/>
      <c r="O99" s="234"/>
      <c r="P99" s="234"/>
      <c r="Q99" s="234"/>
      <c r="R99" s="234"/>
      <c r="S99" s="234"/>
      <c r="T99" s="234"/>
      <c r="U99" s="234"/>
      <c r="V99" s="220"/>
      <c r="W99" s="220"/>
      <c r="X99" s="220"/>
      <c r="Y99" s="234"/>
      <c r="Z99" s="220"/>
      <c r="AA99" s="220"/>
      <c r="AB99" s="225"/>
      <c r="AC99" s="220"/>
      <c r="AD99" s="220"/>
      <c r="AE99" s="234"/>
      <c r="AF99" s="250"/>
      <c r="AG99" s="250"/>
      <c r="AH99" s="250"/>
      <c r="AI99" s="250"/>
      <c r="AJ99" s="250"/>
      <c r="AK99" s="250"/>
      <c r="AL99" s="150"/>
    </row>
    <row r="100" spans="2:38" ht="14.25" customHeight="1" x14ac:dyDescent="0.2">
      <c r="B100" s="214" t="s">
        <v>252</v>
      </c>
      <c r="C100" s="214" t="s">
        <v>274</v>
      </c>
      <c r="D100" s="215" t="s">
        <v>278</v>
      </c>
      <c r="E100" s="216" t="s">
        <v>527</v>
      </c>
      <c r="F100" s="216" t="s">
        <v>110</v>
      </c>
      <c r="G100" s="248">
        <v>1.145548</v>
      </c>
      <c r="H100" s="242">
        <v>1216000</v>
      </c>
      <c r="I100" s="220"/>
      <c r="J100" s="234"/>
      <c r="K100" s="218"/>
      <c r="L100" s="220"/>
      <c r="M100" s="234"/>
      <c r="N100" s="234"/>
      <c r="O100" s="234"/>
      <c r="P100" s="234"/>
      <c r="Q100" s="234"/>
      <c r="R100" s="234"/>
      <c r="S100" s="234"/>
      <c r="T100" s="234"/>
      <c r="U100" s="234"/>
      <c r="V100" s="220"/>
      <c r="W100" s="220"/>
      <c r="X100" s="220"/>
      <c r="Y100" s="234"/>
      <c r="Z100" s="220"/>
      <c r="AA100" s="220"/>
      <c r="AB100" s="225"/>
      <c r="AC100" s="220"/>
      <c r="AD100" s="220"/>
      <c r="AE100" s="234"/>
      <c r="AF100" s="250"/>
      <c r="AG100" s="250"/>
      <c r="AH100" s="250"/>
      <c r="AI100" s="250"/>
      <c r="AJ100" s="250"/>
      <c r="AK100" s="250"/>
      <c r="AL100" s="150"/>
    </row>
    <row r="101" spans="2:38" ht="14.25" customHeight="1" x14ac:dyDescent="0.2">
      <c r="B101" s="214" t="s">
        <v>252</v>
      </c>
      <c r="C101" s="214" t="s">
        <v>274</v>
      </c>
      <c r="D101" s="215" t="s">
        <v>279</v>
      </c>
      <c r="E101" s="216" t="s">
        <v>527</v>
      </c>
      <c r="F101" s="216" t="s">
        <v>110</v>
      </c>
      <c r="G101" s="248">
        <v>1.145548</v>
      </c>
      <c r="H101" s="242">
        <v>4186000</v>
      </c>
      <c r="I101" s="220"/>
      <c r="J101" s="234"/>
      <c r="K101" s="218"/>
      <c r="L101" s="220"/>
      <c r="M101" s="234"/>
      <c r="N101" s="234"/>
      <c r="O101" s="234"/>
      <c r="P101" s="234"/>
      <c r="Q101" s="234"/>
      <c r="R101" s="234"/>
      <c r="S101" s="234"/>
      <c r="T101" s="234"/>
      <c r="U101" s="234"/>
      <c r="V101" s="220"/>
      <c r="W101" s="220"/>
      <c r="X101" s="220"/>
      <c r="Y101" s="234"/>
      <c r="Z101" s="220"/>
      <c r="AA101" s="220"/>
      <c r="AB101" s="225"/>
      <c r="AC101" s="220"/>
      <c r="AD101" s="220"/>
      <c r="AE101" s="234"/>
      <c r="AF101" s="250"/>
      <c r="AG101" s="250"/>
      <c r="AH101" s="250"/>
      <c r="AI101" s="250"/>
      <c r="AJ101" s="250"/>
      <c r="AK101" s="250"/>
      <c r="AL101" s="150"/>
    </row>
    <row r="102" spans="2:38" ht="14.25" customHeight="1" x14ac:dyDescent="0.2">
      <c r="B102" s="214" t="s">
        <v>252</v>
      </c>
      <c r="C102" s="214" t="s">
        <v>274</v>
      </c>
      <c r="D102" s="215" t="s">
        <v>530</v>
      </c>
      <c r="E102" s="216" t="s">
        <v>527</v>
      </c>
      <c r="F102" s="216" t="s">
        <v>110</v>
      </c>
      <c r="G102" s="248">
        <v>1.145548</v>
      </c>
      <c r="H102" s="242">
        <v>31566000</v>
      </c>
      <c r="I102" s="220"/>
      <c r="J102" s="234"/>
      <c r="K102" s="218"/>
      <c r="L102" s="220"/>
      <c r="M102" s="234"/>
      <c r="N102" s="234"/>
      <c r="O102" s="234"/>
      <c r="P102" s="234"/>
      <c r="Q102" s="234"/>
      <c r="R102" s="234"/>
      <c r="S102" s="234"/>
      <c r="T102" s="234"/>
      <c r="U102" s="234"/>
      <c r="V102" s="220"/>
      <c r="W102" s="220"/>
      <c r="X102" s="220"/>
      <c r="Y102" s="234"/>
      <c r="Z102" s="220"/>
      <c r="AA102" s="220"/>
      <c r="AB102" s="234"/>
      <c r="AC102" s="220"/>
      <c r="AD102" s="220"/>
      <c r="AE102" s="225"/>
      <c r="AF102" s="250"/>
      <c r="AG102" s="250"/>
      <c r="AH102" s="250"/>
      <c r="AI102" s="250"/>
      <c r="AJ102" s="250"/>
      <c r="AK102" s="250"/>
      <c r="AL102" s="150"/>
    </row>
    <row r="103" spans="2:38" ht="14.25" customHeight="1" x14ac:dyDescent="0.2">
      <c r="B103" s="214" t="s">
        <v>252</v>
      </c>
      <c r="C103" s="214" t="s">
        <v>274</v>
      </c>
      <c r="D103" s="215" t="s">
        <v>280</v>
      </c>
      <c r="E103" s="216" t="s">
        <v>527</v>
      </c>
      <c r="F103" s="216" t="s">
        <v>110</v>
      </c>
      <c r="G103" s="248">
        <v>1.145548</v>
      </c>
      <c r="H103" s="242">
        <v>34100000</v>
      </c>
      <c r="I103" s="218"/>
      <c r="J103" s="225"/>
      <c r="K103" s="218"/>
      <c r="L103" s="220"/>
      <c r="M103" s="234"/>
      <c r="N103" s="234"/>
      <c r="O103" s="234"/>
      <c r="P103" s="225"/>
      <c r="Q103" s="225">
        <f>'Data in Local Currency'!Q103*'Data in Local Currency'!G103</f>
        <v>0</v>
      </c>
      <c r="R103" s="225">
        <f>'Data in Local Currency'!G103*'Data in Local Currency'!R103</f>
        <v>0</v>
      </c>
      <c r="S103" s="225">
        <f>'Data in Local Currency'!S103*'Data in Local Currency'!G103</f>
        <v>0</v>
      </c>
      <c r="T103" s="225">
        <f>'Data in Local Currency'!T103*'Data in Local Currency'!G103</f>
        <v>0</v>
      </c>
      <c r="U103" s="234"/>
      <c r="V103" s="220"/>
      <c r="W103" s="220"/>
      <c r="X103" s="220"/>
      <c r="Y103" s="234"/>
      <c r="Z103" s="220"/>
      <c r="AA103" s="220"/>
      <c r="AB103" s="234"/>
      <c r="AC103" s="220"/>
      <c r="AD103" s="220"/>
      <c r="AE103" s="234"/>
      <c r="AF103" s="250"/>
      <c r="AG103" s="250"/>
      <c r="AH103" s="250"/>
      <c r="AI103" s="250"/>
      <c r="AJ103" s="250"/>
      <c r="AK103" s="250"/>
      <c r="AL103" s="150"/>
    </row>
    <row r="104" spans="2:38" x14ac:dyDescent="0.2">
      <c r="B104" s="214" t="s">
        <v>281</v>
      </c>
      <c r="C104" s="214" t="s">
        <v>282</v>
      </c>
      <c r="D104" s="232" t="s">
        <v>283</v>
      </c>
      <c r="E104" s="216" t="s">
        <v>527</v>
      </c>
      <c r="F104" s="216" t="s">
        <v>284</v>
      </c>
      <c r="G104" s="248">
        <v>4.4512999999999997E-2</v>
      </c>
      <c r="H104" s="242">
        <v>16797006</v>
      </c>
      <c r="I104" s="220"/>
      <c r="J104" s="225"/>
      <c r="K104" s="218"/>
      <c r="L104" s="218"/>
      <c r="M104" s="234"/>
      <c r="N104" s="234"/>
      <c r="O104" s="225"/>
      <c r="P104" s="234"/>
      <c r="Q104" s="234"/>
      <c r="R104" s="234"/>
      <c r="S104" s="234"/>
      <c r="T104" s="234"/>
      <c r="U104" s="234"/>
      <c r="V104" s="220"/>
      <c r="W104" s="218"/>
      <c r="X104" s="218"/>
      <c r="Y104" s="234"/>
      <c r="Z104" s="220"/>
      <c r="AA104" s="218"/>
      <c r="AB104" s="225"/>
      <c r="AC104" s="218"/>
      <c r="AD104" s="218"/>
      <c r="AE104" s="225"/>
      <c r="AF104" s="249"/>
      <c r="AG104" s="249"/>
      <c r="AH104" s="249"/>
      <c r="AI104" s="250"/>
      <c r="AJ104" s="250"/>
      <c r="AK104" s="249"/>
      <c r="AL104" s="150"/>
    </row>
    <row r="105" spans="2:38" x14ac:dyDescent="0.2">
      <c r="B105" s="214" t="s">
        <v>281</v>
      </c>
      <c r="C105" s="214" t="s">
        <v>285</v>
      </c>
      <c r="D105" s="215" t="s">
        <v>286</v>
      </c>
      <c r="E105" s="216" t="s">
        <v>83</v>
      </c>
      <c r="F105" s="216" t="s">
        <v>110</v>
      </c>
      <c r="G105" s="248">
        <v>1.1998614888000001</v>
      </c>
      <c r="H105" s="242">
        <v>13100000</v>
      </c>
      <c r="I105" s="220"/>
      <c r="J105" s="234"/>
      <c r="K105" s="218"/>
      <c r="L105" s="218"/>
      <c r="M105" s="234"/>
      <c r="N105" s="234"/>
      <c r="O105" s="225"/>
      <c r="P105" s="234"/>
      <c r="Q105" s="234"/>
      <c r="R105" s="234"/>
      <c r="S105" s="234"/>
      <c r="T105" s="234"/>
      <c r="U105" s="234"/>
      <c r="V105" s="220"/>
      <c r="W105" s="220"/>
      <c r="X105" s="220"/>
      <c r="Y105" s="234"/>
      <c r="Z105" s="220"/>
      <c r="AA105" s="220"/>
      <c r="AB105" s="234"/>
      <c r="AC105" s="220"/>
      <c r="AD105" s="220"/>
      <c r="AE105" s="234"/>
      <c r="AF105" s="250"/>
      <c r="AG105" s="250"/>
      <c r="AH105" s="250"/>
      <c r="AI105" s="250"/>
      <c r="AJ105" s="250"/>
      <c r="AK105" s="250"/>
      <c r="AL105" s="150"/>
    </row>
    <row r="106" spans="2:38" x14ac:dyDescent="0.2">
      <c r="B106" s="214" t="s">
        <v>281</v>
      </c>
      <c r="C106" s="214" t="s">
        <v>287</v>
      </c>
      <c r="D106" s="215" t="s">
        <v>288</v>
      </c>
      <c r="E106" s="216" t="s">
        <v>527</v>
      </c>
      <c r="F106" s="216" t="s">
        <v>289</v>
      </c>
      <c r="G106" s="248">
        <v>1.145548</v>
      </c>
      <c r="H106" s="242">
        <v>34400000</v>
      </c>
      <c r="I106" s="220"/>
      <c r="J106" s="225"/>
      <c r="K106" s="218"/>
      <c r="L106" s="220"/>
      <c r="M106" s="234"/>
      <c r="N106" s="234"/>
      <c r="O106" s="254"/>
      <c r="P106" s="234"/>
      <c r="Q106" s="234"/>
      <c r="R106" s="234"/>
      <c r="S106" s="234"/>
      <c r="T106" s="254"/>
      <c r="U106" s="234"/>
      <c r="V106" s="220"/>
      <c r="W106" s="218"/>
      <c r="X106" s="218"/>
      <c r="Y106" s="234"/>
      <c r="Z106" s="220"/>
      <c r="AA106" s="218"/>
      <c r="AB106" s="225"/>
      <c r="AC106" s="218"/>
      <c r="AD106" s="218"/>
      <c r="AE106" s="225"/>
      <c r="AF106" s="249"/>
      <c r="AG106" s="249"/>
      <c r="AH106" s="249"/>
      <c r="AI106" s="249"/>
      <c r="AJ106" s="249"/>
      <c r="AK106" s="249"/>
      <c r="AL106" s="150"/>
    </row>
    <row r="107" spans="2:38" x14ac:dyDescent="0.2">
      <c r="B107" s="214" t="s">
        <v>281</v>
      </c>
      <c r="C107" s="214" t="s">
        <v>287</v>
      </c>
      <c r="D107" s="215" t="s">
        <v>291</v>
      </c>
      <c r="E107" s="216" t="s">
        <v>527</v>
      </c>
      <c r="F107" s="216" t="s">
        <v>289</v>
      </c>
      <c r="G107" s="248">
        <v>1.145548</v>
      </c>
      <c r="H107" s="242">
        <v>27000000</v>
      </c>
      <c r="I107" s="220"/>
      <c r="J107" s="225"/>
      <c r="K107" s="218"/>
      <c r="L107" s="218"/>
      <c r="M107" s="225"/>
      <c r="N107" s="225"/>
      <c r="O107" s="225"/>
      <c r="P107" s="234"/>
      <c r="Q107" s="234"/>
      <c r="R107" s="234"/>
      <c r="S107" s="234"/>
      <c r="T107" s="225">
        <f>'Data in Local Currency'!T107*'Data in Local Currency'!G107</f>
        <v>0</v>
      </c>
      <c r="U107" s="234"/>
      <c r="V107" s="218"/>
      <c r="W107" s="220"/>
      <c r="X107" s="220"/>
      <c r="Y107" s="234"/>
      <c r="Z107" s="220"/>
      <c r="AA107" s="220"/>
      <c r="AB107" s="234"/>
      <c r="AC107" s="220"/>
      <c r="AD107" s="218"/>
      <c r="AE107" s="234"/>
      <c r="AF107" s="250"/>
      <c r="AG107" s="250"/>
      <c r="AH107" s="250"/>
      <c r="AI107" s="250"/>
      <c r="AJ107" s="250"/>
      <c r="AK107" s="250"/>
      <c r="AL107" s="150"/>
    </row>
    <row r="108" spans="2:38" x14ac:dyDescent="0.2">
      <c r="B108" s="214" t="s">
        <v>281</v>
      </c>
      <c r="C108" s="214" t="s">
        <v>287</v>
      </c>
      <c r="D108" s="215" t="s">
        <v>292</v>
      </c>
      <c r="E108" s="216" t="s">
        <v>83</v>
      </c>
      <c r="F108" s="216" t="s">
        <v>110</v>
      </c>
      <c r="G108" s="248">
        <v>1.1998614888000001</v>
      </c>
      <c r="H108" s="242">
        <v>1092547</v>
      </c>
      <c r="I108" s="220"/>
      <c r="J108" s="225"/>
      <c r="K108" s="218"/>
      <c r="L108" s="218"/>
      <c r="M108" s="234"/>
      <c r="N108" s="234"/>
      <c r="O108" s="225"/>
      <c r="P108" s="234"/>
      <c r="Q108" s="234"/>
      <c r="R108" s="234"/>
      <c r="S108" s="234"/>
      <c r="T108" s="234"/>
      <c r="U108" s="234"/>
      <c r="V108" s="220"/>
      <c r="W108" s="218"/>
      <c r="X108" s="218"/>
      <c r="Y108" s="234"/>
      <c r="Z108" s="220"/>
      <c r="AA108" s="218"/>
      <c r="AB108" s="225"/>
      <c r="AC108" s="218"/>
      <c r="AD108" s="218"/>
      <c r="AE108" s="225"/>
      <c r="AF108" s="249"/>
      <c r="AG108" s="249"/>
      <c r="AH108" s="249"/>
      <c r="AI108" s="249"/>
      <c r="AJ108" s="249"/>
      <c r="AK108" s="249"/>
      <c r="AL108" s="150"/>
    </row>
    <row r="109" spans="2:38" x14ac:dyDescent="0.2">
      <c r="B109" s="214" t="s">
        <v>281</v>
      </c>
      <c r="C109" s="214" t="s">
        <v>287</v>
      </c>
      <c r="D109" s="232" t="s">
        <v>293</v>
      </c>
      <c r="E109" s="216" t="s">
        <v>527</v>
      </c>
      <c r="F109" s="216" t="s">
        <v>110</v>
      </c>
      <c r="G109" s="248">
        <v>1.145548</v>
      </c>
      <c r="H109" s="242">
        <v>1030929</v>
      </c>
      <c r="I109" s="220"/>
      <c r="J109" s="225"/>
      <c r="K109" s="218"/>
      <c r="L109" s="218"/>
      <c r="M109" s="234"/>
      <c r="N109" s="234"/>
      <c r="O109" s="225"/>
      <c r="P109" s="234"/>
      <c r="Q109" s="234"/>
      <c r="R109" s="234"/>
      <c r="S109" s="234"/>
      <c r="T109" s="234"/>
      <c r="U109" s="234"/>
      <c r="V109" s="220"/>
      <c r="W109" s="218"/>
      <c r="X109" s="218"/>
      <c r="Y109" s="234"/>
      <c r="Z109" s="220"/>
      <c r="AA109" s="218"/>
      <c r="AB109" s="225"/>
      <c r="AC109" s="220"/>
      <c r="AD109" s="220"/>
      <c r="AE109" s="225"/>
      <c r="AF109" s="249"/>
      <c r="AG109" s="249"/>
      <c r="AH109" s="249"/>
      <c r="AI109" s="249"/>
      <c r="AJ109" s="249"/>
      <c r="AK109" s="249"/>
      <c r="AL109" s="150"/>
    </row>
    <row r="110" spans="2:38" x14ac:dyDescent="0.2">
      <c r="B110" s="214" t="s">
        <v>281</v>
      </c>
      <c r="C110" s="214" t="s">
        <v>294</v>
      </c>
      <c r="D110" s="232" t="s">
        <v>295</v>
      </c>
      <c r="E110" s="216" t="s">
        <v>83</v>
      </c>
      <c r="F110" s="216" t="s">
        <v>110</v>
      </c>
      <c r="G110" s="248">
        <v>1.1998614888000001</v>
      </c>
      <c r="H110" s="242">
        <v>33526000</v>
      </c>
      <c r="I110" s="220"/>
      <c r="J110" s="225"/>
      <c r="K110" s="218"/>
      <c r="L110" s="218"/>
      <c r="M110" s="234"/>
      <c r="N110" s="234"/>
      <c r="O110" s="225"/>
      <c r="P110" s="234"/>
      <c r="Q110" s="234"/>
      <c r="R110" s="234"/>
      <c r="S110" s="234"/>
      <c r="T110" s="234"/>
      <c r="U110" s="234"/>
      <c r="V110" s="220"/>
      <c r="W110" s="218"/>
      <c r="X110" s="218"/>
      <c r="Y110" s="234"/>
      <c r="Z110" s="220"/>
      <c r="AA110" s="218"/>
      <c r="AB110" s="225"/>
      <c r="AC110" s="218"/>
      <c r="AD110" s="218"/>
      <c r="AE110" s="225"/>
      <c r="AF110" s="249"/>
      <c r="AG110" s="249"/>
      <c r="AH110" s="249"/>
      <c r="AI110" s="249"/>
      <c r="AJ110" s="250"/>
      <c r="AK110" s="249"/>
      <c r="AL110" s="150"/>
    </row>
    <row r="111" spans="2:38" x14ac:dyDescent="0.2">
      <c r="B111" s="214" t="s">
        <v>281</v>
      </c>
      <c r="C111" s="214" t="s">
        <v>294</v>
      </c>
      <c r="D111" s="232" t="s">
        <v>296</v>
      </c>
      <c r="E111" s="216" t="s">
        <v>83</v>
      </c>
      <c r="F111" s="216" t="s">
        <v>110</v>
      </c>
      <c r="G111" s="248">
        <v>1.1998614888000001</v>
      </c>
      <c r="H111" s="242">
        <v>12384800</v>
      </c>
      <c r="I111" s="220"/>
      <c r="J111" s="225"/>
      <c r="K111" s="218"/>
      <c r="L111" s="218"/>
      <c r="M111" s="234"/>
      <c r="N111" s="234"/>
      <c r="O111" s="225"/>
      <c r="P111" s="234"/>
      <c r="Q111" s="234"/>
      <c r="R111" s="234"/>
      <c r="S111" s="234"/>
      <c r="T111" s="234"/>
      <c r="U111" s="234"/>
      <c r="V111" s="220"/>
      <c r="W111" s="218"/>
      <c r="X111" s="218"/>
      <c r="Y111" s="234"/>
      <c r="Z111" s="220"/>
      <c r="AA111" s="218"/>
      <c r="AB111" s="225"/>
      <c r="AC111" s="218"/>
      <c r="AD111" s="218"/>
      <c r="AE111" s="225"/>
      <c r="AF111" s="249"/>
      <c r="AG111" s="250"/>
      <c r="AH111" s="250"/>
      <c r="AI111" s="250"/>
      <c r="AJ111" s="250"/>
      <c r="AK111" s="250"/>
      <c r="AL111" s="150"/>
    </row>
    <row r="112" spans="2:38" x14ac:dyDescent="0.2">
      <c r="B112" s="214" t="s">
        <v>281</v>
      </c>
      <c r="C112" s="214" t="s">
        <v>294</v>
      </c>
      <c r="D112" s="232" t="s">
        <v>297</v>
      </c>
      <c r="E112" s="216" t="s">
        <v>527</v>
      </c>
      <c r="F112" s="216" t="s">
        <v>110</v>
      </c>
      <c r="G112" s="248">
        <v>1.145548</v>
      </c>
      <c r="H112" s="242">
        <v>24300000</v>
      </c>
      <c r="I112" s="220"/>
      <c r="J112" s="225"/>
      <c r="K112" s="218"/>
      <c r="L112" s="220"/>
      <c r="M112" s="234"/>
      <c r="N112" s="234"/>
      <c r="O112" s="234"/>
      <c r="P112" s="234"/>
      <c r="Q112" s="234"/>
      <c r="R112" s="234"/>
      <c r="S112" s="234"/>
      <c r="T112" s="234"/>
      <c r="U112" s="234"/>
      <c r="V112" s="220"/>
      <c r="W112" s="218"/>
      <c r="X112" s="218"/>
      <c r="Y112" s="234"/>
      <c r="Z112" s="220"/>
      <c r="AA112" s="218"/>
      <c r="AB112" s="225"/>
      <c r="AC112" s="218"/>
      <c r="AD112" s="218"/>
      <c r="AE112" s="225"/>
      <c r="AF112" s="249"/>
      <c r="AG112" s="249"/>
      <c r="AH112" s="249"/>
      <c r="AI112" s="249"/>
      <c r="AJ112" s="250"/>
      <c r="AK112" s="249"/>
      <c r="AL112" s="150"/>
    </row>
    <row r="113" spans="2:38" ht="14.25" customHeight="1" x14ac:dyDescent="0.2">
      <c r="B113" s="214" t="s">
        <v>281</v>
      </c>
      <c r="C113" s="214" t="s">
        <v>294</v>
      </c>
      <c r="D113" s="215" t="s">
        <v>299</v>
      </c>
      <c r="E113" s="216" t="s">
        <v>527</v>
      </c>
      <c r="F113" s="216" t="s">
        <v>110</v>
      </c>
      <c r="G113" s="248">
        <v>1.145548</v>
      </c>
      <c r="H113" s="242">
        <v>69510269</v>
      </c>
      <c r="I113" s="220"/>
      <c r="J113" s="225"/>
      <c r="K113" s="218"/>
      <c r="L113" s="218"/>
      <c r="M113" s="234"/>
      <c r="N113" s="234"/>
      <c r="O113" s="225"/>
      <c r="P113" s="234"/>
      <c r="Q113" s="234"/>
      <c r="R113" s="234"/>
      <c r="S113" s="234"/>
      <c r="T113" s="225">
        <f>'Data in Local Currency'!T113*'Data in Local Currency'!G113</f>
        <v>0</v>
      </c>
      <c r="U113" s="234"/>
      <c r="V113" s="218"/>
      <c r="W113" s="218"/>
      <c r="X113" s="220"/>
      <c r="Y113" s="234"/>
      <c r="Z113" s="220"/>
      <c r="AA113" s="220"/>
      <c r="AB113" s="234"/>
      <c r="AC113" s="220"/>
      <c r="AD113" s="218"/>
      <c r="AE113" s="234"/>
      <c r="AF113" s="250"/>
      <c r="AG113" s="250"/>
      <c r="AH113" s="250"/>
      <c r="AI113" s="250"/>
      <c r="AJ113" s="250"/>
      <c r="AK113" s="250"/>
      <c r="AL113" s="172"/>
    </row>
    <row r="114" spans="2:38" x14ac:dyDescent="0.2">
      <c r="B114" s="214" t="s">
        <v>281</v>
      </c>
      <c r="C114" s="214" t="s">
        <v>294</v>
      </c>
      <c r="D114" s="215" t="s">
        <v>300</v>
      </c>
      <c r="E114" s="216" t="s">
        <v>83</v>
      </c>
      <c r="F114" s="216" t="s">
        <v>110</v>
      </c>
      <c r="G114" s="248">
        <v>1.1998614888000001</v>
      </c>
      <c r="H114" s="242">
        <v>17620000</v>
      </c>
      <c r="I114" s="220"/>
      <c r="J114" s="225"/>
      <c r="K114" s="218"/>
      <c r="L114" s="218"/>
      <c r="M114" s="234"/>
      <c r="N114" s="234"/>
      <c r="O114" s="225"/>
      <c r="P114" s="234"/>
      <c r="Q114" s="234"/>
      <c r="R114" s="234"/>
      <c r="S114" s="234"/>
      <c r="T114" s="234"/>
      <c r="U114" s="234"/>
      <c r="V114" s="220"/>
      <c r="W114" s="218"/>
      <c r="X114" s="218"/>
      <c r="Y114" s="234"/>
      <c r="Z114" s="220"/>
      <c r="AA114" s="218"/>
      <c r="AB114" s="234"/>
      <c r="AC114" s="218"/>
      <c r="AD114" s="218"/>
      <c r="AE114" s="225"/>
      <c r="AF114" s="249"/>
      <c r="AG114" s="249"/>
      <c r="AH114" s="249"/>
      <c r="AI114" s="250"/>
      <c r="AJ114" s="250"/>
      <c r="AK114" s="249"/>
      <c r="AL114" s="150"/>
    </row>
    <row r="115" spans="2:38" x14ac:dyDescent="0.2">
      <c r="B115" s="214" t="s">
        <v>281</v>
      </c>
      <c r="C115" s="214" t="s">
        <v>294</v>
      </c>
      <c r="D115" s="215" t="s">
        <v>301</v>
      </c>
      <c r="E115" s="216" t="s">
        <v>83</v>
      </c>
      <c r="F115" s="216" t="s">
        <v>110</v>
      </c>
      <c r="G115" s="248">
        <v>1.1998614888000001</v>
      </c>
      <c r="H115" s="242">
        <v>5870000</v>
      </c>
      <c r="I115" s="220"/>
      <c r="J115" s="225"/>
      <c r="K115" s="218"/>
      <c r="L115" s="218"/>
      <c r="M115" s="234"/>
      <c r="N115" s="234"/>
      <c r="O115" s="225"/>
      <c r="P115" s="234"/>
      <c r="Q115" s="234"/>
      <c r="R115" s="234"/>
      <c r="S115" s="234"/>
      <c r="T115" s="234"/>
      <c r="U115" s="234"/>
      <c r="V115" s="220"/>
      <c r="W115" s="218"/>
      <c r="X115" s="218"/>
      <c r="Y115" s="234"/>
      <c r="Z115" s="220"/>
      <c r="AA115" s="218"/>
      <c r="AB115" s="225"/>
      <c r="AC115" s="218"/>
      <c r="AD115" s="218"/>
      <c r="AE115" s="225"/>
      <c r="AF115" s="249"/>
      <c r="AG115" s="250"/>
      <c r="AH115" s="250"/>
      <c r="AI115" s="250"/>
      <c r="AJ115" s="250"/>
      <c r="AK115" s="250"/>
      <c r="AL115" s="150"/>
    </row>
    <row r="116" spans="2:38" x14ac:dyDescent="0.2">
      <c r="B116" s="214" t="s">
        <v>281</v>
      </c>
      <c r="C116" s="214" t="s">
        <v>294</v>
      </c>
      <c r="D116" s="215" t="s">
        <v>302</v>
      </c>
      <c r="E116" s="216" t="s">
        <v>532</v>
      </c>
      <c r="F116" s="216" t="s">
        <v>110</v>
      </c>
      <c r="G116" s="248">
        <v>1.145548</v>
      </c>
      <c r="H116" s="242">
        <v>46300000</v>
      </c>
      <c r="I116" s="220"/>
      <c r="J116" s="225"/>
      <c r="K116" s="218"/>
      <c r="L116" s="218"/>
      <c r="M116" s="234"/>
      <c r="N116" s="234"/>
      <c r="O116" s="225"/>
      <c r="P116" s="234"/>
      <c r="Q116" s="234"/>
      <c r="R116" s="234"/>
      <c r="S116" s="225">
        <f>'Data in Local Currency'!S116*'Data in Local Currency'!G116</f>
        <v>0</v>
      </c>
      <c r="T116" s="225">
        <f>'Data in Local Currency'!T116*'Data in Local Currency'!G116</f>
        <v>0</v>
      </c>
      <c r="U116" s="234"/>
      <c r="V116" s="218"/>
      <c r="W116" s="218"/>
      <c r="X116" s="218"/>
      <c r="Y116" s="234"/>
      <c r="Z116" s="220"/>
      <c r="AA116" s="218"/>
      <c r="AB116" s="225"/>
      <c r="AC116" s="218"/>
      <c r="AD116" s="218"/>
      <c r="AE116" s="225"/>
      <c r="AF116" s="249"/>
      <c r="AG116" s="249"/>
      <c r="AH116" s="249"/>
      <c r="AI116" s="249"/>
      <c r="AJ116" s="249"/>
      <c r="AK116" s="249"/>
      <c r="AL116" s="150"/>
    </row>
    <row r="117" spans="2:38" x14ac:dyDescent="0.2">
      <c r="B117" s="214" t="s">
        <v>281</v>
      </c>
      <c r="C117" s="214" t="s">
        <v>303</v>
      </c>
      <c r="D117" s="215" t="s">
        <v>304</v>
      </c>
      <c r="E117" s="216" t="s">
        <v>527</v>
      </c>
      <c r="F117" s="216" t="s">
        <v>110</v>
      </c>
      <c r="G117" s="248">
        <v>1.145548</v>
      </c>
      <c r="H117" s="242">
        <v>2292712</v>
      </c>
      <c r="I117" s="220"/>
      <c r="J117" s="225"/>
      <c r="K117" s="218"/>
      <c r="L117" s="218"/>
      <c r="M117" s="234"/>
      <c r="N117" s="234"/>
      <c r="O117" s="225"/>
      <c r="P117" s="234"/>
      <c r="Q117" s="234"/>
      <c r="R117" s="234"/>
      <c r="S117" s="234"/>
      <c r="T117" s="234"/>
      <c r="U117" s="234"/>
      <c r="V117" s="220"/>
      <c r="W117" s="218"/>
      <c r="X117" s="218"/>
      <c r="Y117" s="234"/>
      <c r="Z117" s="220"/>
      <c r="AA117" s="218"/>
      <c r="AB117" s="225"/>
      <c r="AC117" s="218"/>
      <c r="AD117" s="218"/>
      <c r="AE117" s="225"/>
      <c r="AF117" s="249"/>
      <c r="AG117" s="250"/>
      <c r="AH117" s="249"/>
      <c r="AI117" s="250"/>
      <c r="AJ117" s="250"/>
      <c r="AK117" s="250"/>
      <c r="AL117" s="150"/>
    </row>
    <row r="118" spans="2:38" x14ac:dyDescent="0.2">
      <c r="B118" s="214" t="s">
        <v>281</v>
      </c>
      <c r="C118" s="214" t="s">
        <v>305</v>
      </c>
      <c r="D118" s="215" t="s">
        <v>306</v>
      </c>
      <c r="E118" s="216" t="s">
        <v>307</v>
      </c>
      <c r="F118" s="216" t="s">
        <v>308</v>
      </c>
      <c r="G118" s="248">
        <v>0.2770519897</v>
      </c>
      <c r="H118" s="242">
        <v>22160262</v>
      </c>
      <c r="I118" s="220"/>
      <c r="J118" s="234"/>
      <c r="K118" s="218"/>
      <c r="L118" s="220"/>
      <c r="M118" s="234"/>
      <c r="N118" s="234"/>
      <c r="O118" s="234"/>
      <c r="P118" s="234"/>
      <c r="Q118" s="234"/>
      <c r="R118" s="234"/>
      <c r="S118" s="234"/>
      <c r="T118" s="234"/>
      <c r="U118" s="234"/>
      <c r="V118" s="220"/>
      <c r="W118" s="218"/>
      <c r="X118" s="220"/>
      <c r="Y118" s="234"/>
      <c r="Z118" s="220"/>
      <c r="AA118" s="220"/>
      <c r="AB118" s="234"/>
      <c r="AC118" s="220"/>
      <c r="AD118" s="218"/>
      <c r="AE118" s="225"/>
      <c r="AF118" s="250"/>
      <c r="AG118" s="250"/>
      <c r="AH118" s="250"/>
      <c r="AI118" s="250"/>
      <c r="AJ118" s="250"/>
      <c r="AK118" s="250"/>
      <c r="AL118" s="150"/>
    </row>
    <row r="119" spans="2:38" x14ac:dyDescent="0.2">
      <c r="B119" s="214" t="s">
        <v>309</v>
      </c>
      <c r="C119" s="214" t="s">
        <v>310</v>
      </c>
      <c r="D119" s="215" t="s">
        <v>575</v>
      </c>
      <c r="E119" s="216" t="s">
        <v>527</v>
      </c>
      <c r="F119" s="216" t="s">
        <v>110</v>
      </c>
      <c r="G119" s="248">
        <v>1.145548</v>
      </c>
      <c r="H119" s="242">
        <v>105300000</v>
      </c>
      <c r="I119" s="220"/>
      <c r="J119" s="234"/>
      <c r="K119" s="218"/>
      <c r="L119" s="218"/>
      <c r="M119" s="234"/>
      <c r="N119" s="234"/>
      <c r="O119" s="225"/>
      <c r="P119" s="234"/>
      <c r="Q119" s="234"/>
      <c r="R119" s="225">
        <f>'Data in Local Currency'!G119*'Data in Local Currency'!R119</f>
        <v>0</v>
      </c>
      <c r="S119" s="225">
        <f>'Data in Local Currency'!S119*'Data in Local Currency'!G119</f>
        <v>0</v>
      </c>
      <c r="T119" s="225">
        <f>'Data in Local Currency'!T119*'Data in Local Currency'!G119</f>
        <v>0</v>
      </c>
      <c r="U119" s="225"/>
      <c r="V119" s="218"/>
      <c r="W119" s="220"/>
      <c r="X119" s="220"/>
      <c r="Y119" s="234"/>
      <c r="Z119" s="220"/>
      <c r="AA119" s="220"/>
      <c r="AB119" s="234"/>
      <c r="AC119" s="220"/>
      <c r="AD119" s="220"/>
      <c r="AE119" s="234"/>
      <c r="AF119" s="250"/>
      <c r="AG119" s="250"/>
      <c r="AH119" s="250"/>
      <c r="AI119" s="250"/>
      <c r="AJ119" s="250"/>
      <c r="AK119" s="250"/>
      <c r="AL119" s="168"/>
    </row>
    <row r="120" spans="2:38" x14ac:dyDescent="0.2">
      <c r="B120" s="214" t="s">
        <v>309</v>
      </c>
      <c r="C120" s="214" t="s">
        <v>310</v>
      </c>
      <c r="D120" s="232" t="s">
        <v>312</v>
      </c>
      <c r="E120" s="216" t="s">
        <v>66</v>
      </c>
      <c r="F120" s="216" t="s">
        <v>110</v>
      </c>
      <c r="G120" s="248">
        <v>1.1998614888000001</v>
      </c>
      <c r="H120" s="260">
        <v>5759000</v>
      </c>
      <c r="I120" s="261"/>
      <c r="J120" s="234"/>
      <c r="K120" s="218"/>
      <c r="L120" s="220"/>
      <c r="M120" s="234"/>
      <c r="N120" s="234"/>
      <c r="O120" s="234"/>
      <c r="P120" s="234"/>
      <c r="Q120" s="234"/>
      <c r="R120" s="234"/>
      <c r="S120" s="234"/>
      <c r="T120" s="234"/>
      <c r="U120" s="234"/>
      <c r="V120" s="220"/>
      <c r="W120" s="220"/>
      <c r="X120" s="220"/>
      <c r="Y120" s="234"/>
      <c r="Z120" s="220"/>
      <c r="AA120" s="220"/>
      <c r="AB120" s="234"/>
      <c r="AC120" s="220"/>
      <c r="AD120" s="220"/>
      <c r="AE120" s="234"/>
      <c r="AF120" s="250"/>
      <c r="AG120" s="250"/>
      <c r="AH120" s="250"/>
      <c r="AI120" s="250"/>
      <c r="AJ120" s="250"/>
      <c r="AK120" s="250"/>
      <c r="AL120" s="150"/>
    </row>
    <row r="121" spans="2:38" x14ac:dyDescent="0.2">
      <c r="B121" s="214" t="s">
        <v>309</v>
      </c>
      <c r="C121" s="214" t="s">
        <v>310</v>
      </c>
      <c r="D121" s="215" t="s">
        <v>313</v>
      </c>
      <c r="E121" s="216" t="s">
        <v>83</v>
      </c>
      <c r="F121" s="216" t="s">
        <v>110</v>
      </c>
      <c r="G121" s="248">
        <v>1.1998614888000001</v>
      </c>
      <c r="H121" s="242">
        <v>2293378</v>
      </c>
      <c r="I121" s="220"/>
      <c r="J121" s="225"/>
      <c r="K121" s="218"/>
      <c r="L121" s="218"/>
      <c r="M121" s="234"/>
      <c r="N121" s="234"/>
      <c r="O121" s="225"/>
      <c r="P121" s="234"/>
      <c r="Q121" s="234"/>
      <c r="R121" s="234"/>
      <c r="S121" s="234"/>
      <c r="T121" s="234"/>
      <c r="U121" s="234"/>
      <c r="V121" s="218"/>
      <c r="W121" s="218"/>
      <c r="X121" s="220"/>
      <c r="Y121" s="234"/>
      <c r="Z121" s="220"/>
      <c r="AA121" s="218"/>
      <c r="AB121" s="225"/>
      <c r="AC121" s="220"/>
      <c r="AD121" s="218"/>
      <c r="AE121" s="225"/>
      <c r="AF121" s="250"/>
      <c r="AG121" s="250"/>
      <c r="AH121" s="250"/>
      <c r="AI121" s="250"/>
      <c r="AJ121" s="250"/>
      <c r="AK121" s="249"/>
      <c r="AL121" s="150"/>
    </row>
    <row r="122" spans="2:38" ht="16.5" customHeight="1" x14ac:dyDescent="0.2">
      <c r="B122" s="214" t="s">
        <v>309</v>
      </c>
      <c r="C122" s="214" t="s">
        <v>310</v>
      </c>
      <c r="D122" s="244" t="s">
        <v>315</v>
      </c>
      <c r="E122" s="216" t="s">
        <v>83</v>
      </c>
      <c r="F122" s="216" t="s">
        <v>110</v>
      </c>
      <c r="G122" s="248">
        <v>1.1998614888000001</v>
      </c>
      <c r="H122" s="242">
        <v>9002086</v>
      </c>
      <c r="I122" s="220"/>
      <c r="J122" s="225"/>
      <c r="K122" s="218"/>
      <c r="L122" s="218"/>
      <c r="M122" s="234"/>
      <c r="N122" s="234"/>
      <c r="O122" s="225"/>
      <c r="P122" s="234"/>
      <c r="Q122" s="234"/>
      <c r="R122" s="234"/>
      <c r="S122" s="234"/>
      <c r="T122" s="234"/>
      <c r="U122" s="234"/>
      <c r="V122" s="218"/>
      <c r="W122" s="220"/>
      <c r="X122" s="220"/>
      <c r="Y122" s="234"/>
      <c r="Z122" s="220"/>
      <c r="AA122" s="220"/>
      <c r="AB122" s="234"/>
      <c r="AC122" s="220"/>
      <c r="AD122" s="220"/>
      <c r="AE122" s="234"/>
      <c r="AF122" s="250"/>
      <c r="AG122" s="250"/>
      <c r="AH122" s="250"/>
      <c r="AI122" s="250"/>
      <c r="AJ122" s="250"/>
      <c r="AK122" s="250"/>
      <c r="AL122" s="150"/>
    </row>
    <row r="123" spans="2:38" ht="18.75" customHeight="1" x14ac:dyDescent="0.2">
      <c r="B123" s="214" t="s">
        <v>309</v>
      </c>
      <c r="C123" s="214" t="s">
        <v>310</v>
      </c>
      <c r="D123" s="215" t="s">
        <v>316</v>
      </c>
      <c r="E123" s="216" t="s">
        <v>83</v>
      </c>
      <c r="F123" s="216" t="s">
        <v>110</v>
      </c>
      <c r="G123" s="248">
        <v>1.1998614888000001</v>
      </c>
      <c r="H123" s="242">
        <v>9264611</v>
      </c>
      <c r="I123" s="220"/>
      <c r="J123" s="225"/>
      <c r="K123" s="218"/>
      <c r="L123" s="218"/>
      <c r="M123" s="234"/>
      <c r="N123" s="234"/>
      <c r="O123" s="225"/>
      <c r="P123" s="234"/>
      <c r="Q123" s="234"/>
      <c r="R123" s="234"/>
      <c r="S123" s="234"/>
      <c r="T123" s="234"/>
      <c r="U123" s="234"/>
      <c r="V123" s="218"/>
      <c r="W123" s="218"/>
      <c r="X123" s="218"/>
      <c r="Y123" s="234"/>
      <c r="Z123" s="220"/>
      <c r="AA123" s="218"/>
      <c r="AB123" s="225"/>
      <c r="AC123" s="218"/>
      <c r="AD123" s="218"/>
      <c r="AE123" s="225"/>
      <c r="AF123" s="249"/>
      <c r="AG123" s="249"/>
      <c r="AH123" s="249"/>
      <c r="AI123" s="249"/>
      <c r="AJ123" s="249"/>
      <c r="AK123" s="249"/>
      <c r="AL123" s="150"/>
    </row>
    <row r="124" spans="2:38" ht="15" customHeight="1" x14ac:dyDescent="0.2">
      <c r="B124" s="214" t="s">
        <v>309</v>
      </c>
      <c r="C124" s="214" t="s">
        <v>310</v>
      </c>
      <c r="D124" s="232" t="s">
        <v>317</v>
      </c>
      <c r="E124" s="216" t="s">
        <v>83</v>
      </c>
      <c r="F124" s="216" t="s">
        <v>110</v>
      </c>
      <c r="G124" s="248">
        <v>1.1998614888000001</v>
      </c>
      <c r="H124" s="242">
        <v>3997678</v>
      </c>
      <c r="I124" s="220"/>
      <c r="J124" s="234"/>
      <c r="K124" s="218"/>
      <c r="L124" s="220"/>
      <c r="M124" s="234"/>
      <c r="N124" s="234"/>
      <c r="O124" s="234"/>
      <c r="P124" s="234"/>
      <c r="Q124" s="234"/>
      <c r="R124" s="234"/>
      <c r="S124" s="234"/>
      <c r="T124" s="234"/>
      <c r="U124" s="234"/>
      <c r="V124" s="220"/>
      <c r="W124" s="218"/>
      <c r="X124" s="220"/>
      <c r="Y124" s="234"/>
      <c r="Z124" s="220"/>
      <c r="AA124" s="218"/>
      <c r="AB124" s="234"/>
      <c r="AC124" s="220"/>
      <c r="AD124" s="220"/>
      <c r="AE124" s="234"/>
      <c r="AF124" s="250"/>
      <c r="AG124" s="250"/>
      <c r="AH124" s="250"/>
      <c r="AI124" s="250"/>
      <c r="AJ124" s="250"/>
      <c r="AK124" s="250"/>
      <c r="AL124" s="150"/>
    </row>
    <row r="125" spans="2:38" ht="15" customHeight="1" x14ac:dyDescent="0.2">
      <c r="B125" s="214" t="s">
        <v>309</v>
      </c>
      <c r="C125" s="214" t="s">
        <v>310</v>
      </c>
      <c r="D125" s="232" t="s">
        <v>318</v>
      </c>
      <c r="E125" s="216" t="s">
        <v>66</v>
      </c>
      <c r="F125" s="216" t="s">
        <v>110</v>
      </c>
      <c r="G125" s="248">
        <v>1.1998614888000001</v>
      </c>
      <c r="H125" s="242">
        <v>9500000</v>
      </c>
      <c r="I125" s="220"/>
      <c r="J125" s="234"/>
      <c r="K125" s="218"/>
      <c r="L125" s="220"/>
      <c r="M125" s="234"/>
      <c r="N125" s="234"/>
      <c r="O125" s="234"/>
      <c r="P125" s="234"/>
      <c r="Q125" s="234"/>
      <c r="R125" s="234"/>
      <c r="S125" s="234"/>
      <c r="T125" s="234"/>
      <c r="U125" s="234"/>
      <c r="V125" s="220"/>
      <c r="W125" s="220"/>
      <c r="X125" s="220"/>
      <c r="Y125" s="234"/>
      <c r="Z125" s="220"/>
      <c r="AA125" s="220"/>
      <c r="AB125" s="234"/>
      <c r="AC125" s="220"/>
      <c r="AD125" s="220"/>
      <c r="AE125" s="225"/>
      <c r="AF125" s="250"/>
      <c r="AG125" s="250"/>
      <c r="AH125" s="250"/>
      <c r="AI125" s="250"/>
      <c r="AJ125" s="250"/>
      <c r="AK125" s="250"/>
      <c r="AL125" s="150"/>
    </row>
    <row r="126" spans="2:38" ht="15" customHeight="1" x14ac:dyDescent="0.2">
      <c r="B126" s="214" t="s">
        <v>309</v>
      </c>
      <c r="C126" s="214" t="s">
        <v>319</v>
      </c>
      <c r="D126" s="232" t="s">
        <v>320</v>
      </c>
      <c r="E126" s="216" t="s">
        <v>533</v>
      </c>
      <c r="F126" s="216" t="s">
        <v>110</v>
      </c>
      <c r="G126" s="248">
        <v>1.145548</v>
      </c>
      <c r="H126" s="242">
        <v>33900000</v>
      </c>
      <c r="I126" s="220"/>
      <c r="J126" s="234"/>
      <c r="K126" s="218"/>
      <c r="L126" s="218"/>
      <c r="M126" s="234"/>
      <c r="N126" s="234"/>
      <c r="O126" s="225"/>
      <c r="P126" s="234"/>
      <c r="Q126" s="234"/>
      <c r="R126" s="234"/>
      <c r="S126" s="234"/>
      <c r="T126" s="225">
        <f>'Data in Local Currency'!T126*'Data in Local Currency'!G126</f>
        <v>0</v>
      </c>
      <c r="U126" s="234"/>
      <c r="V126" s="220"/>
      <c r="W126" s="218"/>
      <c r="X126" s="220"/>
      <c r="Y126" s="234"/>
      <c r="Z126" s="220"/>
      <c r="AA126" s="220"/>
      <c r="AB126" s="225"/>
      <c r="AC126" s="220"/>
      <c r="AD126" s="220"/>
      <c r="AE126" s="234"/>
      <c r="AF126" s="250"/>
      <c r="AG126" s="250"/>
      <c r="AH126" s="250"/>
      <c r="AI126" s="250"/>
      <c r="AJ126" s="250"/>
      <c r="AK126" s="250"/>
      <c r="AL126" s="150"/>
    </row>
    <row r="127" spans="2:38" x14ac:dyDescent="0.2">
      <c r="B127" s="214" t="s">
        <v>309</v>
      </c>
      <c r="C127" s="214" t="s">
        <v>321</v>
      </c>
      <c r="D127" s="215" t="s">
        <v>322</v>
      </c>
      <c r="E127" s="216" t="s">
        <v>527</v>
      </c>
      <c r="F127" s="216" t="s">
        <v>110</v>
      </c>
      <c r="G127" s="248">
        <v>1.145548</v>
      </c>
      <c r="H127" s="242">
        <v>48835000</v>
      </c>
      <c r="I127" s="220"/>
      <c r="J127" s="225"/>
      <c r="K127" s="218"/>
      <c r="L127" s="218"/>
      <c r="M127" s="225"/>
      <c r="N127" s="225"/>
      <c r="O127" s="225"/>
      <c r="P127" s="234"/>
      <c r="Q127" s="234"/>
      <c r="R127" s="225">
        <f>'Data in Local Currency'!G127*'Data in Local Currency'!R127</f>
        <v>0</v>
      </c>
      <c r="S127" s="225">
        <f>'Data in Local Currency'!S127*'Data in Local Currency'!G127</f>
        <v>0</v>
      </c>
      <c r="T127" s="225">
        <f>'Data in Local Currency'!T127*'Data in Local Currency'!G127</f>
        <v>0</v>
      </c>
      <c r="U127" s="225"/>
      <c r="V127" s="218"/>
      <c r="W127" s="218"/>
      <c r="X127" s="218"/>
      <c r="Y127" s="234"/>
      <c r="Z127" s="220"/>
      <c r="AA127" s="218"/>
      <c r="AB127" s="225"/>
      <c r="AC127" s="218"/>
      <c r="AD127" s="218"/>
      <c r="AE127" s="225"/>
      <c r="AF127" s="249"/>
      <c r="AG127" s="249"/>
      <c r="AH127" s="249"/>
      <c r="AI127" s="249"/>
      <c r="AJ127" s="249"/>
      <c r="AK127" s="249"/>
      <c r="AL127" s="168"/>
    </row>
    <row r="128" spans="2:38" x14ac:dyDescent="0.2">
      <c r="B128" s="214" t="s">
        <v>309</v>
      </c>
      <c r="C128" s="214" t="s">
        <v>321</v>
      </c>
      <c r="D128" s="215" t="s">
        <v>323</v>
      </c>
      <c r="E128" s="216" t="s">
        <v>527</v>
      </c>
      <c r="F128" s="216" t="s">
        <v>110</v>
      </c>
      <c r="G128" s="248">
        <v>1.145548</v>
      </c>
      <c r="H128" s="242">
        <v>33748800</v>
      </c>
      <c r="I128" s="220"/>
      <c r="J128" s="225"/>
      <c r="K128" s="218"/>
      <c r="L128" s="220"/>
      <c r="M128" s="234"/>
      <c r="N128" s="234"/>
      <c r="O128" s="225"/>
      <c r="P128" s="234"/>
      <c r="Q128" s="234"/>
      <c r="R128" s="225">
        <f>'Data in Local Currency'!G128*'Data in Local Currency'!R128</f>
        <v>0</v>
      </c>
      <c r="S128" s="225">
        <f>'Data in Local Currency'!S128*'Data in Local Currency'!G128</f>
        <v>0</v>
      </c>
      <c r="T128" s="225">
        <f>'Data in Local Currency'!T128*'Data in Local Currency'!G128</f>
        <v>0</v>
      </c>
      <c r="U128" s="225"/>
      <c r="V128" s="218"/>
      <c r="W128" s="218"/>
      <c r="X128" s="218"/>
      <c r="Y128" s="234"/>
      <c r="Z128" s="218"/>
      <c r="AA128" s="218"/>
      <c r="AB128" s="225"/>
      <c r="AC128" s="218"/>
      <c r="AD128" s="218"/>
      <c r="AE128" s="225"/>
      <c r="AF128" s="249"/>
      <c r="AG128" s="249"/>
      <c r="AH128" s="249"/>
      <c r="AI128" s="249"/>
      <c r="AJ128" s="249"/>
      <c r="AK128" s="249"/>
      <c r="AL128" s="150"/>
    </row>
    <row r="129" spans="2:38" x14ac:dyDescent="0.2">
      <c r="B129" s="214" t="s">
        <v>309</v>
      </c>
      <c r="C129" s="214" t="s">
        <v>321</v>
      </c>
      <c r="D129" s="215" t="s">
        <v>324</v>
      </c>
      <c r="E129" s="216" t="s">
        <v>527</v>
      </c>
      <c r="F129" s="216" t="s">
        <v>110</v>
      </c>
      <c r="G129" s="248">
        <v>1.145548</v>
      </c>
      <c r="H129" s="242">
        <v>8577507</v>
      </c>
      <c r="I129" s="220"/>
      <c r="J129" s="225"/>
      <c r="K129" s="218"/>
      <c r="L129" s="218"/>
      <c r="M129" s="225"/>
      <c r="N129" s="225"/>
      <c r="O129" s="225"/>
      <c r="P129" s="234"/>
      <c r="Q129" s="234"/>
      <c r="R129" s="234"/>
      <c r="S129" s="234"/>
      <c r="T129" s="225">
        <f>'Data in Local Currency'!T129*'Data in Local Currency'!G129</f>
        <v>0</v>
      </c>
      <c r="U129" s="225"/>
      <c r="V129" s="218"/>
      <c r="W129" s="218"/>
      <c r="X129" s="218"/>
      <c r="Y129" s="234"/>
      <c r="Z129" s="220"/>
      <c r="AA129" s="218"/>
      <c r="AB129" s="225"/>
      <c r="AC129" s="218"/>
      <c r="AD129" s="218"/>
      <c r="AE129" s="225"/>
      <c r="AF129" s="249"/>
      <c r="AG129" s="249"/>
      <c r="AH129" s="249"/>
      <c r="AI129" s="250"/>
      <c r="AJ129" s="250"/>
      <c r="AK129" s="250"/>
      <c r="AL129" s="150"/>
    </row>
    <row r="130" spans="2:38" x14ac:dyDescent="0.2">
      <c r="B130" s="214" t="s">
        <v>309</v>
      </c>
      <c r="C130" s="214" t="s">
        <v>321</v>
      </c>
      <c r="D130" s="215" t="s">
        <v>325</v>
      </c>
      <c r="E130" s="216" t="s">
        <v>83</v>
      </c>
      <c r="F130" s="216" t="s">
        <v>110</v>
      </c>
      <c r="G130" s="248">
        <v>1.1998614888000001</v>
      </c>
      <c r="H130" s="242">
        <v>7891167</v>
      </c>
      <c r="I130" s="220"/>
      <c r="J130" s="225"/>
      <c r="K130" s="218"/>
      <c r="L130" s="218"/>
      <c r="M130" s="225"/>
      <c r="N130" s="225"/>
      <c r="O130" s="225"/>
      <c r="P130" s="234"/>
      <c r="Q130" s="234"/>
      <c r="R130" s="225">
        <f>'Data in Local Currency'!G130*'Data in Local Currency'!R130</f>
        <v>0</v>
      </c>
      <c r="S130" s="225">
        <f>'Data in Local Currency'!S130*'Data in Local Currency'!G130</f>
        <v>0</v>
      </c>
      <c r="T130" s="225">
        <f>'Data in Local Currency'!T130*'Data in Local Currency'!G130</f>
        <v>0</v>
      </c>
      <c r="U130" s="225"/>
      <c r="V130" s="218"/>
      <c r="W130" s="218"/>
      <c r="X130" s="218"/>
      <c r="Y130" s="234"/>
      <c r="Z130" s="218"/>
      <c r="AA130" s="218"/>
      <c r="AB130" s="225"/>
      <c r="AC130" s="218"/>
      <c r="AD130" s="218"/>
      <c r="AE130" s="225"/>
      <c r="AF130" s="249"/>
      <c r="AG130" s="249"/>
      <c r="AH130" s="249"/>
      <c r="AI130" s="249"/>
      <c r="AJ130" s="249"/>
      <c r="AK130" s="249"/>
      <c r="AL130" s="150"/>
    </row>
    <row r="131" spans="2:38" x14ac:dyDescent="0.2">
      <c r="B131" s="214" t="s">
        <v>309</v>
      </c>
      <c r="C131" s="214" t="s">
        <v>321</v>
      </c>
      <c r="D131" s="215" t="s">
        <v>326</v>
      </c>
      <c r="E131" s="216" t="s">
        <v>83</v>
      </c>
      <c r="F131" s="216" t="s">
        <v>110</v>
      </c>
      <c r="G131" s="248">
        <v>1.1998614888000001</v>
      </c>
      <c r="H131" s="242">
        <v>13366406</v>
      </c>
      <c r="I131" s="220"/>
      <c r="J131" s="225"/>
      <c r="K131" s="218"/>
      <c r="L131" s="218"/>
      <c r="M131" s="234"/>
      <c r="N131" s="234"/>
      <c r="O131" s="225"/>
      <c r="P131" s="234"/>
      <c r="Q131" s="234"/>
      <c r="R131" s="234"/>
      <c r="S131" s="234"/>
      <c r="T131" s="234"/>
      <c r="U131" s="225"/>
      <c r="V131" s="218"/>
      <c r="W131" s="218"/>
      <c r="X131" s="218"/>
      <c r="Y131" s="234"/>
      <c r="Z131" s="218"/>
      <c r="AA131" s="218"/>
      <c r="AB131" s="225"/>
      <c r="AC131" s="218"/>
      <c r="AD131" s="218"/>
      <c r="AE131" s="225"/>
      <c r="AF131" s="249"/>
      <c r="AG131" s="249"/>
      <c r="AH131" s="249"/>
      <c r="AI131" s="249"/>
      <c r="AJ131" s="249"/>
      <c r="AK131" s="249"/>
      <c r="AL131" s="150"/>
    </row>
    <row r="132" spans="2:38" x14ac:dyDescent="0.2">
      <c r="B132" s="214" t="s">
        <v>309</v>
      </c>
      <c r="C132" s="214" t="s">
        <v>321</v>
      </c>
      <c r="D132" s="215" t="s">
        <v>327</v>
      </c>
      <c r="E132" s="216" t="s">
        <v>527</v>
      </c>
      <c r="F132" s="216" t="s">
        <v>110</v>
      </c>
      <c r="G132" s="248">
        <v>1.145548</v>
      </c>
      <c r="H132" s="242">
        <v>8506658</v>
      </c>
      <c r="I132" s="220"/>
      <c r="J132" s="225"/>
      <c r="K132" s="218"/>
      <c r="L132" s="218"/>
      <c r="M132" s="225"/>
      <c r="N132" s="225"/>
      <c r="O132" s="225"/>
      <c r="P132" s="234"/>
      <c r="Q132" s="234"/>
      <c r="R132" s="234"/>
      <c r="S132" s="234"/>
      <c r="T132" s="225">
        <f>'Data in Local Currency'!T132*'Data in Local Currency'!G132</f>
        <v>0</v>
      </c>
      <c r="U132" s="234"/>
      <c r="V132" s="218"/>
      <c r="W132" s="218"/>
      <c r="X132" s="218"/>
      <c r="Y132" s="234"/>
      <c r="Z132" s="220"/>
      <c r="AA132" s="218"/>
      <c r="AB132" s="225"/>
      <c r="AC132" s="218"/>
      <c r="AD132" s="218"/>
      <c r="AE132" s="225"/>
      <c r="AF132" s="249"/>
      <c r="AG132" s="249"/>
      <c r="AH132" s="249"/>
      <c r="AI132" s="249"/>
      <c r="AJ132" s="249"/>
      <c r="AK132" s="249"/>
      <c r="AL132" s="150"/>
    </row>
    <row r="133" spans="2:38" x14ac:dyDescent="0.2">
      <c r="B133" s="214" t="s">
        <v>309</v>
      </c>
      <c r="C133" s="214" t="s">
        <v>328</v>
      </c>
      <c r="D133" s="215" t="s">
        <v>329</v>
      </c>
      <c r="E133" s="216" t="s">
        <v>113</v>
      </c>
      <c r="F133" s="216" t="s">
        <v>330</v>
      </c>
      <c r="G133" s="248">
        <v>1.4763372618999999</v>
      </c>
      <c r="H133" s="242">
        <v>3502000</v>
      </c>
      <c r="I133" s="220"/>
      <c r="J133" s="234"/>
      <c r="K133" s="218"/>
      <c r="L133" s="218"/>
      <c r="M133" s="234"/>
      <c r="N133" s="234"/>
      <c r="O133" s="225"/>
      <c r="P133" s="234"/>
      <c r="Q133" s="234"/>
      <c r="R133" s="234"/>
      <c r="S133" s="234"/>
      <c r="T133" s="234"/>
      <c r="U133" s="234"/>
      <c r="V133" s="220"/>
      <c r="W133" s="218"/>
      <c r="X133" s="218"/>
      <c r="Y133" s="234"/>
      <c r="Z133" s="218"/>
      <c r="AA133" s="218"/>
      <c r="AB133" s="225"/>
      <c r="AC133" s="218"/>
      <c r="AD133" s="218"/>
      <c r="AE133" s="225"/>
      <c r="AF133" s="249"/>
      <c r="AG133" s="249"/>
      <c r="AH133" s="249"/>
      <c r="AI133" s="249"/>
      <c r="AJ133" s="250"/>
      <c r="AK133" s="250"/>
      <c r="AL133" s="150"/>
    </row>
    <row r="134" spans="2:38" x14ac:dyDescent="0.2">
      <c r="B134" s="214" t="s">
        <v>309</v>
      </c>
      <c r="C134" s="214" t="s">
        <v>328</v>
      </c>
      <c r="D134" s="215" t="s">
        <v>331</v>
      </c>
      <c r="E134" s="216" t="s">
        <v>135</v>
      </c>
      <c r="F134" s="216" t="s">
        <v>330</v>
      </c>
      <c r="G134" s="248">
        <v>1.4011402388</v>
      </c>
      <c r="H134" s="242">
        <v>12884052</v>
      </c>
      <c r="I134" s="220"/>
      <c r="J134" s="234"/>
      <c r="K134" s="218"/>
      <c r="L134" s="218"/>
      <c r="M134" s="234"/>
      <c r="N134" s="234"/>
      <c r="O134" s="225"/>
      <c r="P134" s="234"/>
      <c r="Q134" s="234"/>
      <c r="R134" s="234"/>
      <c r="S134" s="234"/>
      <c r="T134" s="234"/>
      <c r="U134" s="234"/>
      <c r="V134" s="220"/>
      <c r="W134" s="218"/>
      <c r="X134" s="218"/>
      <c r="Y134" s="234"/>
      <c r="Z134" s="220"/>
      <c r="AA134" s="218"/>
      <c r="AB134" s="225"/>
      <c r="AC134" s="218"/>
      <c r="AD134" s="218"/>
      <c r="AE134" s="225"/>
      <c r="AF134" s="249"/>
      <c r="AG134" s="249"/>
      <c r="AH134" s="249"/>
      <c r="AI134" s="249"/>
      <c r="AJ134" s="249"/>
      <c r="AK134" s="249"/>
      <c r="AL134" s="150"/>
    </row>
    <row r="135" spans="2:38" x14ac:dyDescent="0.2">
      <c r="B135" s="214" t="s">
        <v>309</v>
      </c>
      <c r="C135" s="214" t="s">
        <v>328</v>
      </c>
      <c r="D135" s="215" t="s">
        <v>332</v>
      </c>
      <c r="E135" s="216" t="s">
        <v>79</v>
      </c>
      <c r="F135" s="216" t="s">
        <v>330</v>
      </c>
      <c r="G135" s="248">
        <v>1.4380336429</v>
      </c>
      <c r="H135" s="242">
        <v>7531000</v>
      </c>
      <c r="I135" s="220"/>
      <c r="J135" s="234"/>
      <c r="K135" s="218"/>
      <c r="L135" s="218"/>
      <c r="M135" s="234"/>
      <c r="N135" s="234"/>
      <c r="O135" s="225"/>
      <c r="P135" s="234"/>
      <c r="Q135" s="234"/>
      <c r="R135" s="234"/>
      <c r="S135" s="234"/>
      <c r="T135" s="234"/>
      <c r="U135" s="234"/>
      <c r="V135" s="218"/>
      <c r="W135" s="218"/>
      <c r="X135" s="220"/>
      <c r="Y135" s="234"/>
      <c r="Z135" s="220"/>
      <c r="AA135" s="218"/>
      <c r="AB135" s="225"/>
      <c r="AC135" s="220"/>
      <c r="AD135" s="218"/>
      <c r="AE135" s="225"/>
      <c r="AF135" s="249"/>
      <c r="AG135" s="249"/>
      <c r="AH135" s="250"/>
      <c r="AI135" s="250"/>
      <c r="AJ135" s="249"/>
      <c r="AK135" s="249"/>
      <c r="AL135" s="150"/>
    </row>
    <row r="136" spans="2:38" x14ac:dyDescent="0.2">
      <c r="B136" s="214" t="s">
        <v>309</v>
      </c>
      <c r="C136" s="214" t="s">
        <v>328</v>
      </c>
      <c r="D136" s="215" t="s">
        <v>333</v>
      </c>
      <c r="E136" s="216" t="s">
        <v>135</v>
      </c>
      <c r="F136" s="216" t="s">
        <v>330</v>
      </c>
      <c r="G136" s="248">
        <v>1.4011402388</v>
      </c>
      <c r="H136" s="242">
        <v>1465227</v>
      </c>
      <c r="I136" s="220"/>
      <c r="J136" s="225"/>
      <c r="K136" s="218"/>
      <c r="L136" s="218"/>
      <c r="M136" s="234"/>
      <c r="N136" s="234"/>
      <c r="O136" s="225"/>
      <c r="P136" s="234"/>
      <c r="Q136" s="234"/>
      <c r="R136" s="234"/>
      <c r="S136" s="234"/>
      <c r="T136" s="234"/>
      <c r="U136" s="234"/>
      <c r="V136" s="220"/>
      <c r="W136" s="220"/>
      <c r="X136" s="220"/>
      <c r="Y136" s="234"/>
      <c r="Z136" s="220"/>
      <c r="AA136" s="220"/>
      <c r="AB136" s="234"/>
      <c r="AC136" s="220"/>
      <c r="AD136" s="220"/>
      <c r="AE136" s="234"/>
      <c r="AF136" s="250"/>
      <c r="AG136" s="250"/>
      <c r="AH136" s="250"/>
      <c r="AI136" s="250"/>
      <c r="AJ136" s="250"/>
      <c r="AK136" s="250"/>
      <c r="AL136" s="150"/>
    </row>
    <row r="137" spans="2:38" x14ac:dyDescent="0.2">
      <c r="B137" s="214" t="s">
        <v>309</v>
      </c>
      <c r="C137" s="214" t="s">
        <v>328</v>
      </c>
      <c r="D137" s="232" t="s">
        <v>334</v>
      </c>
      <c r="E137" s="216" t="s">
        <v>79</v>
      </c>
      <c r="F137" s="216" t="s">
        <v>330</v>
      </c>
      <c r="G137" s="248">
        <v>1.4380336429</v>
      </c>
      <c r="H137" s="242">
        <v>255058</v>
      </c>
      <c r="I137" s="220"/>
      <c r="J137" s="234"/>
      <c r="K137" s="218"/>
      <c r="L137" s="220"/>
      <c r="M137" s="234"/>
      <c r="N137" s="234"/>
      <c r="O137" s="254"/>
      <c r="P137" s="254"/>
      <c r="Q137" s="234"/>
      <c r="R137" s="234"/>
      <c r="S137" s="234"/>
      <c r="T137" s="254"/>
      <c r="U137" s="234"/>
      <c r="V137" s="220"/>
      <c r="W137" s="218"/>
      <c r="X137" s="220"/>
      <c r="Y137" s="234"/>
      <c r="Z137" s="220"/>
      <c r="AA137" s="218"/>
      <c r="AB137" s="262"/>
      <c r="AC137" s="220"/>
      <c r="AD137" s="220"/>
      <c r="AE137" s="225"/>
      <c r="AF137" s="250"/>
      <c r="AG137" s="250"/>
      <c r="AH137" s="249"/>
      <c r="AI137" s="250"/>
      <c r="AJ137" s="250"/>
      <c r="AK137" s="249"/>
      <c r="AL137" s="150"/>
    </row>
    <row r="138" spans="2:38" x14ac:dyDescent="0.2">
      <c r="B138" s="214" t="s">
        <v>309</v>
      </c>
      <c r="C138" s="214" t="s">
        <v>328</v>
      </c>
      <c r="D138" s="215" t="s">
        <v>336</v>
      </c>
      <c r="E138" s="216" t="s">
        <v>527</v>
      </c>
      <c r="F138" s="216" t="s">
        <v>330</v>
      </c>
      <c r="G138" s="248">
        <v>1.2760210000000001</v>
      </c>
      <c r="H138" s="242">
        <v>14300000</v>
      </c>
      <c r="I138" s="220"/>
      <c r="J138" s="234"/>
      <c r="K138" s="218"/>
      <c r="L138" s="218"/>
      <c r="M138" s="234"/>
      <c r="N138" s="234"/>
      <c r="O138" s="263"/>
      <c r="P138" s="254"/>
      <c r="Q138" s="234"/>
      <c r="R138" s="234"/>
      <c r="S138" s="234"/>
      <c r="T138" s="254"/>
      <c r="U138" s="234"/>
      <c r="V138" s="220"/>
      <c r="W138" s="218"/>
      <c r="X138" s="218"/>
      <c r="Y138" s="234"/>
      <c r="Z138" s="220"/>
      <c r="AA138" s="218"/>
      <c r="AB138" s="262"/>
      <c r="AC138" s="218"/>
      <c r="AD138" s="218"/>
      <c r="AE138" s="225"/>
      <c r="AF138" s="249"/>
      <c r="AG138" s="249"/>
      <c r="AH138" s="249"/>
      <c r="AI138" s="249"/>
      <c r="AJ138" s="249"/>
      <c r="AK138" s="249"/>
      <c r="AL138" s="150"/>
    </row>
    <row r="139" spans="2:38" x14ac:dyDescent="0.2">
      <c r="B139" s="214" t="s">
        <v>309</v>
      </c>
      <c r="C139" s="214" t="s">
        <v>328</v>
      </c>
      <c r="D139" s="215" t="s">
        <v>337</v>
      </c>
      <c r="E139" s="216" t="s">
        <v>79</v>
      </c>
      <c r="F139" s="216" t="s">
        <v>330</v>
      </c>
      <c r="G139" s="248">
        <v>1.2534095315</v>
      </c>
      <c r="H139" s="242">
        <v>624000</v>
      </c>
      <c r="I139" s="220"/>
      <c r="J139" s="234"/>
      <c r="K139" s="218"/>
      <c r="L139" s="220"/>
      <c r="M139" s="234"/>
      <c r="N139" s="234"/>
      <c r="O139" s="264"/>
      <c r="P139" s="254"/>
      <c r="Q139" s="234"/>
      <c r="R139" s="234"/>
      <c r="S139" s="234"/>
      <c r="T139" s="254"/>
      <c r="U139" s="234"/>
      <c r="V139" s="218"/>
      <c r="W139" s="218"/>
      <c r="X139" s="218"/>
      <c r="Y139" s="234"/>
      <c r="Z139" s="220"/>
      <c r="AA139" s="218"/>
      <c r="AB139" s="262"/>
      <c r="AC139" s="218"/>
      <c r="AD139" s="218"/>
      <c r="AE139" s="225"/>
      <c r="AF139" s="249"/>
      <c r="AG139" s="250"/>
      <c r="AH139" s="250"/>
      <c r="AI139" s="250"/>
      <c r="AJ139" s="250"/>
      <c r="AK139" s="249"/>
      <c r="AL139" s="150"/>
    </row>
    <row r="140" spans="2:38" x14ac:dyDescent="0.2">
      <c r="B140" s="214" t="s">
        <v>309</v>
      </c>
      <c r="C140" s="214" t="s">
        <v>328</v>
      </c>
      <c r="D140" s="232" t="s">
        <v>339</v>
      </c>
      <c r="E140" s="216" t="s">
        <v>83</v>
      </c>
      <c r="F140" s="216" t="s">
        <v>330</v>
      </c>
      <c r="G140" s="248">
        <v>1.3502911431</v>
      </c>
      <c r="H140" s="242">
        <v>813595</v>
      </c>
      <c r="I140" s="220"/>
      <c r="J140" s="234"/>
      <c r="K140" s="218"/>
      <c r="L140" s="218"/>
      <c r="M140" s="234"/>
      <c r="N140" s="234"/>
      <c r="O140" s="263"/>
      <c r="P140" s="254"/>
      <c r="Q140" s="234"/>
      <c r="R140" s="234"/>
      <c r="S140" s="234"/>
      <c r="T140" s="254"/>
      <c r="U140" s="225"/>
      <c r="V140" s="218"/>
      <c r="W140" s="220"/>
      <c r="X140" s="220"/>
      <c r="Y140" s="234"/>
      <c r="Z140" s="220"/>
      <c r="AA140" s="220"/>
      <c r="AB140" s="254"/>
      <c r="AC140" s="220"/>
      <c r="AD140" s="220"/>
      <c r="AE140" s="234"/>
      <c r="AF140" s="250"/>
      <c r="AG140" s="250"/>
      <c r="AH140" s="250"/>
      <c r="AI140" s="250"/>
      <c r="AJ140" s="250"/>
      <c r="AK140" s="250"/>
      <c r="AL140" s="150"/>
    </row>
    <row r="141" spans="2:38" x14ac:dyDescent="0.2">
      <c r="B141" s="214" t="s">
        <v>309</v>
      </c>
      <c r="C141" s="214" t="s">
        <v>328</v>
      </c>
      <c r="D141" s="232" t="s">
        <v>340</v>
      </c>
      <c r="E141" s="216" t="s">
        <v>135</v>
      </c>
      <c r="F141" s="216" t="s">
        <v>330</v>
      </c>
      <c r="G141" s="248">
        <v>1.4011402388</v>
      </c>
      <c r="H141" s="242">
        <v>1780521</v>
      </c>
      <c r="I141" s="220"/>
      <c r="J141" s="225"/>
      <c r="K141" s="218"/>
      <c r="L141" s="218"/>
      <c r="M141" s="234"/>
      <c r="N141" s="234"/>
      <c r="O141" s="263"/>
      <c r="P141" s="254"/>
      <c r="Q141" s="234"/>
      <c r="R141" s="234"/>
      <c r="S141" s="234"/>
      <c r="T141" s="254"/>
      <c r="U141" s="234"/>
      <c r="V141" s="220"/>
      <c r="W141" s="218"/>
      <c r="X141" s="220"/>
      <c r="Y141" s="234"/>
      <c r="Z141" s="220"/>
      <c r="AA141" s="218"/>
      <c r="AB141" s="262"/>
      <c r="AC141" s="220"/>
      <c r="AD141" s="218"/>
      <c r="AE141" s="225"/>
      <c r="AF141" s="249"/>
      <c r="AG141" s="249"/>
      <c r="AH141" s="250"/>
      <c r="AI141" s="250"/>
      <c r="AJ141" s="249"/>
      <c r="AK141" s="249"/>
      <c r="AL141" s="150"/>
    </row>
    <row r="142" spans="2:38" x14ac:dyDescent="0.2">
      <c r="B142" s="214" t="s">
        <v>309</v>
      </c>
      <c r="C142" s="214" t="s">
        <v>328</v>
      </c>
      <c r="D142" s="232" t="s">
        <v>341</v>
      </c>
      <c r="E142" s="216" t="s">
        <v>91</v>
      </c>
      <c r="F142" s="216" t="s">
        <v>330</v>
      </c>
      <c r="G142" s="248">
        <v>1.2534095315</v>
      </c>
      <c r="H142" s="242">
        <v>4800000</v>
      </c>
      <c r="I142" s="220"/>
      <c r="J142" s="234"/>
      <c r="K142" s="218"/>
      <c r="L142" s="220"/>
      <c r="M142" s="234"/>
      <c r="N142" s="234"/>
      <c r="O142" s="254"/>
      <c r="P142" s="254"/>
      <c r="Q142" s="234"/>
      <c r="R142" s="234"/>
      <c r="S142" s="234"/>
      <c r="T142" s="254"/>
      <c r="U142" s="234"/>
      <c r="V142" s="220"/>
      <c r="W142" s="220"/>
      <c r="X142" s="220"/>
      <c r="Y142" s="234"/>
      <c r="Z142" s="220"/>
      <c r="AA142" s="220"/>
      <c r="AB142" s="254"/>
      <c r="AC142" s="220"/>
      <c r="AD142" s="218"/>
      <c r="AE142" s="234"/>
      <c r="AF142" s="250"/>
      <c r="AG142" s="250"/>
      <c r="AH142" s="250"/>
      <c r="AI142" s="250"/>
      <c r="AJ142" s="250"/>
      <c r="AK142" s="250"/>
      <c r="AL142" s="150"/>
    </row>
    <row r="143" spans="2:38" x14ac:dyDescent="0.2">
      <c r="B143" s="214" t="s">
        <v>309</v>
      </c>
      <c r="C143" s="214" t="s">
        <v>328</v>
      </c>
      <c r="D143" s="232" t="s">
        <v>342</v>
      </c>
      <c r="E143" s="216" t="s">
        <v>83</v>
      </c>
      <c r="F143" s="216" t="s">
        <v>330</v>
      </c>
      <c r="G143" s="248">
        <v>1.3502911431</v>
      </c>
      <c r="H143" s="242">
        <v>4500000</v>
      </c>
      <c r="I143" s="220"/>
      <c r="J143" s="234"/>
      <c r="K143" s="218"/>
      <c r="L143" s="220"/>
      <c r="M143" s="234"/>
      <c r="N143" s="234"/>
      <c r="O143" s="254"/>
      <c r="P143" s="254"/>
      <c r="Q143" s="234"/>
      <c r="R143" s="234"/>
      <c r="S143" s="234"/>
      <c r="T143" s="254"/>
      <c r="U143" s="234"/>
      <c r="V143" s="220"/>
      <c r="W143" s="220"/>
      <c r="X143" s="220"/>
      <c r="Y143" s="234"/>
      <c r="Z143" s="220"/>
      <c r="AA143" s="220"/>
      <c r="AB143" s="254"/>
      <c r="AC143" s="220"/>
      <c r="AD143" s="220"/>
      <c r="AE143" s="225"/>
      <c r="AF143" s="250"/>
      <c r="AG143" s="250"/>
      <c r="AH143" s="250"/>
      <c r="AI143" s="250"/>
      <c r="AJ143" s="250"/>
      <c r="AK143" s="250"/>
      <c r="AL143" s="150"/>
    </row>
    <row r="144" spans="2:38" x14ac:dyDescent="0.2">
      <c r="B144" s="214" t="s">
        <v>309</v>
      </c>
      <c r="C144" s="214" t="s">
        <v>328</v>
      </c>
      <c r="D144" s="215" t="s">
        <v>343</v>
      </c>
      <c r="E144" s="216" t="s">
        <v>529</v>
      </c>
      <c r="F144" s="216" t="s">
        <v>330</v>
      </c>
      <c r="G144" s="248">
        <v>1.304251</v>
      </c>
      <c r="H144" s="242">
        <v>46442154</v>
      </c>
      <c r="I144" s="220"/>
      <c r="J144" s="225"/>
      <c r="K144" s="218"/>
      <c r="L144" s="218"/>
      <c r="M144" s="234"/>
      <c r="N144" s="234"/>
      <c r="O144" s="263"/>
      <c r="P144" s="234"/>
      <c r="Q144" s="234"/>
      <c r="R144" s="225">
        <f>'Data in Local Currency'!G144*'Data in Local Currency'!R144</f>
        <v>0</v>
      </c>
      <c r="S144" s="225">
        <f>'Data in Local Currency'!S144*'Data in Local Currency'!G144</f>
        <v>0</v>
      </c>
      <c r="T144" s="225">
        <f>'Data in Local Currency'!T144*'Data in Local Currency'!G144</f>
        <v>0</v>
      </c>
      <c r="U144" s="234"/>
      <c r="V144" s="218"/>
      <c r="W144" s="218"/>
      <c r="X144" s="218"/>
      <c r="Y144" s="234"/>
      <c r="Z144" s="218"/>
      <c r="AA144" s="218"/>
      <c r="AB144" s="225"/>
      <c r="AC144" s="218"/>
      <c r="AD144" s="218"/>
      <c r="AE144" s="225"/>
      <c r="AF144" s="249"/>
      <c r="AG144" s="249"/>
      <c r="AH144" s="249"/>
      <c r="AI144" s="249"/>
      <c r="AJ144" s="249"/>
      <c r="AK144" s="249"/>
      <c r="AL144" s="150"/>
    </row>
    <row r="145" spans="2:38" x14ac:dyDescent="0.2">
      <c r="B145" s="214" t="s">
        <v>309</v>
      </c>
      <c r="C145" s="214" t="s">
        <v>328</v>
      </c>
      <c r="D145" s="215" t="s">
        <v>544</v>
      </c>
      <c r="E145" s="216" t="s">
        <v>527</v>
      </c>
      <c r="F145" s="216" t="s">
        <v>330</v>
      </c>
      <c r="G145" s="248">
        <v>1.2760210000000001</v>
      </c>
      <c r="H145" s="242">
        <v>80100000</v>
      </c>
      <c r="I145" s="220"/>
      <c r="J145" s="225"/>
      <c r="K145" s="218"/>
      <c r="L145" s="218"/>
      <c r="M145" s="234"/>
      <c r="N145" s="234"/>
      <c r="O145" s="263"/>
      <c r="P145" s="254"/>
      <c r="Q145" s="234"/>
      <c r="R145" s="225">
        <f>'Data in Local Currency'!G145*'Data in Local Currency'!R145</f>
        <v>0</v>
      </c>
      <c r="S145" s="225">
        <f>'Data in Local Currency'!S145*'Data in Local Currency'!G145</f>
        <v>0</v>
      </c>
      <c r="T145" s="225">
        <f>'Data in Local Currency'!T145*'Data in Local Currency'!G145</f>
        <v>0</v>
      </c>
      <c r="U145" s="234"/>
      <c r="V145" s="218"/>
      <c r="W145" s="218"/>
      <c r="X145" s="218"/>
      <c r="Y145" s="234"/>
      <c r="Z145" s="218"/>
      <c r="AA145" s="218"/>
      <c r="AB145" s="225"/>
      <c r="AC145" s="218"/>
      <c r="AD145" s="218"/>
      <c r="AE145" s="225"/>
      <c r="AF145" s="249"/>
      <c r="AG145" s="249"/>
      <c r="AH145" s="250"/>
      <c r="AI145" s="250"/>
      <c r="AJ145" s="250"/>
      <c r="AK145" s="249"/>
      <c r="AL145" s="150"/>
    </row>
    <row r="146" spans="2:38" x14ac:dyDescent="0.2">
      <c r="B146" s="214" t="s">
        <v>309</v>
      </c>
      <c r="C146" s="214" t="s">
        <v>328</v>
      </c>
      <c r="D146" s="215" t="s">
        <v>344</v>
      </c>
      <c r="E146" s="216" t="s">
        <v>534</v>
      </c>
      <c r="F146" s="216" t="s">
        <v>330</v>
      </c>
      <c r="G146" s="248">
        <v>1.2760210000000001</v>
      </c>
      <c r="H146" s="265">
        <v>16600000</v>
      </c>
      <c r="I146" s="266"/>
      <c r="J146" s="234"/>
      <c r="K146" s="218"/>
      <c r="L146" s="218"/>
      <c r="M146" s="234"/>
      <c r="N146" s="234"/>
      <c r="O146" s="263"/>
      <c r="P146" s="254"/>
      <c r="Q146" s="234"/>
      <c r="R146" s="234"/>
      <c r="S146" s="234"/>
      <c r="T146" s="234"/>
      <c r="U146" s="234"/>
      <c r="V146" s="220"/>
      <c r="W146" s="218"/>
      <c r="X146" s="220"/>
      <c r="Y146" s="234"/>
      <c r="Z146" s="220"/>
      <c r="AA146" s="218"/>
      <c r="AB146" s="262"/>
      <c r="AC146" s="220"/>
      <c r="AD146" s="218"/>
      <c r="AE146" s="225"/>
      <c r="AF146" s="249"/>
      <c r="AG146" s="249"/>
      <c r="AH146" s="249"/>
      <c r="AI146" s="249"/>
      <c r="AJ146" s="250"/>
      <c r="AK146" s="250"/>
      <c r="AL146" s="150"/>
    </row>
    <row r="147" spans="2:38" x14ac:dyDescent="0.2">
      <c r="B147" s="214" t="s">
        <v>309</v>
      </c>
      <c r="C147" s="214" t="s">
        <v>328</v>
      </c>
      <c r="D147" s="215" t="s">
        <v>535</v>
      </c>
      <c r="E147" s="216" t="s">
        <v>529</v>
      </c>
      <c r="F147" s="216" t="s">
        <v>330</v>
      </c>
      <c r="G147" s="248">
        <v>1.304251</v>
      </c>
      <c r="H147" s="265">
        <v>61800000</v>
      </c>
      <c r="I147" s="266"/>
      <c r="J147" s="234"/>
      <c r="K147" s="218"/>
      <c r="L147" s="218"/>
      <c r="M147" s="234"/>
      <c r="N147" s="234"/>
      <c r="O147" s="263"/>
      <c r="P147" s="254"/>
      <c r="Q147" s="234"/>
      <c r="R147" s="234"/>
      <c r="S147" s="234"/>
      <c r="T147" s="225">
        <f>'Data in Local Currency'!T147*'Data in Local Currency'!G147</f>
        <v>0</v>
      </c>
      <c r="U147" s="234"/>
      <c r="V147" s="218"/>
      <c r="W147" s="218"/>
      <c r="X147" s="218"/>
      <c r="Y147" s="234"/>
      <c r="Z147" s="220"/>
      <c r="AA147" s="218"/>
      <c r="AB147" s="262"/>
      <c r="AC147" s="218"/>
      <c r="AD147" s="218"/>
      <c r="AE147" s="225"/>
      <c r="AF147" s="249"/>
      <c r="AG147" s="249"/>
      <c r="AH147" s="249"/>
      <c r="AI147" s="249"/>
      <c r="AJ147" s="249"/>
      <c r="AK147" s="249"/>
      <c r="AL147" s="150"/>
    </row>
    <row r="148" spans="2:38" x14ac:dyDescent="0.2">
      <c r="B148" s="214" t="s">
        <v>309</v>
      </c>
      <c r="C148" s="214" t="s">
        <v>328</v>
      </c>
      <c r="D148" s="215" t="s">
        <v>345</v>
      </c>
      <c r="E148" s="216" t="s">
        <v>529</v>
      </c>
      <c r="F148" s="216" t="s">
        <v>330</v>
      </c>
      <c r="G148" s="248">
        <v>1.304251</v>
      </c>
      <c r="H148" s="265">
        <v>28600000</v>
      </c>
      <c r="I148" s="266"/>
      <c r="J148" s="234"/>
      <c r="K148" s="218"/>
      <c r="L148" s="218"/>
      <c r="M148" s="234"/>
      <c r="N148" s="234"/>
      <c r="O148" s="263"/>
      <c r="P148" s="254"/>
      <c r="Q148" s="234"/>
      <c r="R148" s="234"/>
      <c r="S148" s="234"/>
      <c r="T148" s="234"/>
      <c r="U148" s="234"/>
      <c r="V148" s="220"/>
      <c r="W148" s="218"/>
      <c r="X148" s="220"/>
      <c r="Y148" s="234"/>
      <c r="Z148" s="220"/>
      <c r="AA148" s="220"/>
      <c r="AB148" s="254"/>
      <c r="AC148" s="220"/>
      <c r="AD148" s="220"/>
      <c r="AE148" s="234"/>
      <c r="AF148" s="250"/>
      <c r="AG148" s="250"/>
      <c r="AH148" s="250"/>
      <c r="AI148" s="250"/>
      <c r="AJ148" s="250"/>
      <c r="AK148" s="250"/>
      <c r="AL148" s="150"/>
    </row>
    <row r="149" spans="2:38" x14ac:dyDescent="0.2">
      <c r="B149" s="214" t="s">
        <v>309</v>
      </c>
      <c r="C149" s="214" t="s">
        <v>328</v>
      </c>
      <c r="D149" s="215" t="s">
        <v>346</v>
      </c>
      <c r="E149" s="216" t="s">
        <v>529</v>
      </c>
      <c r="F149" s="216" t="s">
        <v>330</v>
      </c>
      <c r="G149" s="248">
        <v>1.304251</v>
      </c>
      <c r="H149" s="265">
        <v>28400000</v>
      </c>
      <c r="I149" s="266"/>
      <c r="J149" s="234"/>
      <c r="K149" s="218"/>
      <c r="L149" s="218"/>
      <c r="M149" s="234"/>
      <c r="N149" s="234"/>
      <c r="O149" s="263"/>
      <c r="P149" s="254"/>
      <c r="Q149" s="234"/>
      <c r="R149" s="234"/>
      <c r="S149" s="234"/>
      <c r="T149" s="234"/>
      <c r="U149" s="234"/>
      <c r="V149" s="220"/>
      <c r="W149" s="218"/>
      <c r="X149" s="220"/>
      <c r="Y149" s="234"/>
      <c r="Z149" s="220"/>
      <c r="AA149" s="220"/>
      <c r="AB149" s="254"/>
      <c r="AC149" s="220"/>
      <c r="AD149" s="220"/>
      <c r="AE149" s="234"/>
      <c r="AF149" s="250"/>
      <c r="AG149" s="250"/>
      <c r="AH149" s="250"/>
      <c r="AI149" s="250"/>
      <c r="AJ149" s="250"/>
      <c r="AK149" s="250"/>
      <c r="AL149" s="150"/>
    </row>
    <row r="150" spans="2:38" x14ac:dyDescent="0.2">
      <c r="B150" s="214" t="s">
        <v>309</v>
      </c>
      <c r="C150" s="214" t="s">
        <v>328</v>
      </c>
      <c r="D150" s="215" t="s">
        <v>347</v>
      </c>
      <c r="E150" s="216" t="s">
        <v>529</v>
      </c>
      <c r="F150" s="216" t="s">
        <v>330</v>
      </c>
      <c r="G150" s="248">
        <v>1.304251</v>
      </c>
      <c r="H150" s="265">
        <v>4900000</v>
      </c>
      <c r="I150" s="266"/>
      <c r="J150" s="234"/>
      <c r="K150" s="218"/>
      <c r="L150" s="218"/>
      <c r="M150" s="234"/>
      <c r="N150" s="234"/>
      <c r="O150" s="263"/>
      <c r="P150" s="254"/>
      <c r="Q150" s="234"/>
      <c r="R150" s="234"/>
      <c r="S150" s="234"/>
      <c r="T150" s="234"/>
      <c r="U150" s="234"/>
      <c r="V150" s="220"/>
      <c r="W150" s="218"/>
      <c r="X150" s="220"/>
      <c r="Y150" s="234"/>
      <c r="Z150" s="220"/>
      <c r="AA150" s="220"/>
      <c r="AB150" s="254"/>
      <c r="AC150" s="220"/>
      <c r="AD150" s="220"/>
      <c r="AE150" s="234"/>
      <c r="AF150" s="250"/>
      <c r="AG150" s="250"/>
      <c r="AH150" s="250"/>
      <c r="AI150" s="250"/>
      <c r="AJ150" s="250"/>
      <c r="AK150" s="250"/>
      <c r="AL150" s="150"/>
    </row>
    <row r="151" spans="2:38" x14ac:dyDescent="0.2">
      <c r="B151" s="214" t="s">
        <v>309</v>
      </c>
      <c r="C151" s="214" t="s">
        <v>328</v>
      </c>
      <c r="D151" s="215" t="s">
        <v>348</v>
      </c>
      <c r="E151" s="216" t="s">
        <v>529</v>
      </c>
      <c r="F151" s="216" t="s">
        <v>330</v>
      </c>
      <c r="G151" s="248">
        <v>1.304251</v>
      </c>
      <c r="H151" s="265">
        <v>1500000</v>
      </c>
      <c r="I151" s="266"/>
      <c r="J151" s="234"/>
      <c r="K151" s="218"/>
      <c r="L151" s="220"/>
      <c r="M151" s="234"/>
      <c r="N151" s="234"/>
      <c r="O151" s="254"/>
      <c r="P151" s="254"/>
      <c r="Q151" s="234"/>
      <c r="R151" s="234"/>
      <c r="S151" s="234"/>
      <c r="T151" s="234"/>
      <c r="U151" s="234"/>
      <c r="V151" s="220"/>
      <c r="W151" s="220"/>
      <c r="X151" s="220"/>
      <c r="Y151" s="234"/>
      <c r="Z151" s="220"/>
      <c r="AA151" s="220"/>
      <c r="AB151" s="254"/>
      <c r="AC151" s="220"/>
      <c r="AD151" s="220"/>
      <c r="AE151" s="234"/>
      <c r="AF151" s="250"/>
      <c r="AG151" s="250"/>
      <c r="AH151" s="250"/>
      <c r="AI151" s="250"/>
      <c r="AJ151" s="250"/>
      <c r="AK151" s="250"/>
      <c r="AL151" s="150"/>
    </row>
    <row r="152" spans="2:38" x14ac:dyDescent="0.2">
      <c r="B152" s="214" t="s">
        <v>309</v>
      </c>
      <c r="C152" s="214" t="s">
        <v>328</v>
      </c>
      <c r="D152" s="215" t="s">
        <v>349</v>
      </c>
      <c r="E152" s="216" t="s">
        <v>135</v>
      </c>
      <c r="F152" s="216" t="s">
        <v>330</v>
      </c>
      <c r="G152" s="248">
        <v>1.4011402388</v>
      </c>
      <c r="H152" s="265">
        <v>2300000</v>
      </c>
      <c r="I152" s="266"/>
      <c r="J152" s="225"/>
      <c r="K152" s="218"/>
      <c r="L152" s="220"/>
      <c r="M152" s="234"/>
      <c r="N152" s="234"/>
      <c r="O152" s="254"/>
      <c r="P152" s="254"/>
      <c r="Q152" s="234"/>
      <c r="R152" s="234"/>
      <c r="S152" s="234"/>
      <c r="T152" s="234"/>
      <c r="U152" s="234"/>
      <c r="V152" s="220"/>
      <c r="W152" s="220"/>
      <c r="X152" s="220"/>
      <c r="Y152" s="234"/>
      <c r="Z152" s="220"/>
      <c r="AA152" s="220"/>
      <c r="AB152" s="254"/>
      <c r="AC152" s="220"/>
      <c r="AD152" s="220"/>
      <c r="AE152" s="234"/>
      <c r="AF152" s="250"/>
      <c r="AG152" s="250"/>
      <c r="AH152" s="250"/>
      <c r="AI152" s="250"/>
      <c r="AJ152" s="250"/>
      <c r="AK152" s="250"/>
      <c r="AL152" s="150"/>
    </row>
    <row r="153" spans="2:38" x14ac:dyDescent="0.2">
      <c r="B153" s="214" t="s">
        <v>309</v>
      </c>
      <c r="C153" s="214" t="s">
        <v>350</v>
      </c>
      <c r="D153" s="215" t="s">
        <v>351</v>
      </c>
      <c r="E153" s="216" t="s">
        <v>527</v>
      </c>
      <c r="F153" s="216" t="s">
        <v>352</v>
      </c>
      <c r="G153" s="248">
        <v>1.0169459999999999</v>
      </c>
      <c r="H153" s="265">
        <v>17677035</v>
      </c>
      <c r="I153" s="266"/>
      <c r="J153" s="225"/>
      <c r="K153" s="218"/>
      <c r="L153" s="218"/>
      <c r="M153" s="234"/>
      <c r="N153" s="225"/>
      <c r="O153" s="225"/>
      <c r="P153" s="264"/>
      <c r="Q153" s="234"/>
      <c r="R153" s="234"/>
      <c r="S153" s="234"/>
      <c r="T153" s="234"/>
      <c r="U153" s="234"/>
      <c r="V153" s="218"/>
      <c r="W153" s="218"/>
      <c r="X153" s="218"/>
      <c r="Y153" s="234"/>
      <c r="Z153" s="220"/>
      <c r="AA153" s="218"/>
      <c r="AB153" s="262"/>
      <c r="AC153" s="218"/>
      <c r="AD153" s="218"/>
      <c r="AE153" s="225"/>
      <c r="AF153" s="249"/>
      <c r="AG153" s="249"/>
      <c r="AH153" s="249"/>
      <c r="AI153" s="249"/>
      <c r="AJ153" s="249"/>
      <c r="AK153" s="249"/>
      <c r="AL153" s="150"/>
    </row>
    <row r="154" spans="2:38" x14ac:dyDescent="0.2">
      <c r="B154" s="214" t="s">
        <v>309</v>
      </c>
      <c r="C154" s="214" t="s">
        <v>350</v>
      </c>
      <c r="D154" s="215" t="s">
        <v>353</v>
      </c>
      <c r="E154" s="216" t="s">
        <v>527</v>
      </c>
      <c r="F154" s="216" t="s">
        <v>352</v>
      </c>
      <c r="G154" s="248">
        <v>1.0169459999999999</v>
      </c>
      <c r="H154" s="265">
        <v>31113488</v>
      </c>
      <c r="I154" s="266"/>
      <c r="J154" s="225"/>
      <c r="K154" s="218"/>
      <c r="L154" s="218"/>
      <c r="M154" s="225"/>
      <c r="N154" s="225"/>
      <c r="O154" s="225"/>
      <c r="P154" s="267"/>
      <c r="Q154" s="234"/>
      <c r="R154" s="234"/>
      <c r="S154" s="234"/>
      <c r="T154" s="234"/>
      <c r="U154" s="234"/>
      <c r="V154" s="220"/>
      <c r="W154" s="218"/>
      <c r="X154" s="218"/>
      <c r="Y154" s="234"/>
      <c r="Z154" s="220"/>
      <c r="AA154" s="218"/>
      <c r="AB154" s="262"/>
      <c r="AC154" s="218"/>
      <c r="AD154" s="218"/>
      <c r="AE154" s="225"/>
      <c r="AF154" s="249"/>
      <c r="AG154" s="249"/>
      <c r="AH154" s="249"/>
      <c r="AI154" s="249"/>
      <c r="AJ154" s="249"/>
      <c r="AK154" s="249"/>
      <c r="AL154" s="150"/>
    </row>
    <row r="155" spans="2:38" x14ac:dyDescent="0.2">
      <c r="B155" s="214" t="s">
        <v>309</v>
      </c>
      <c r="C155" s="214" t="s">
        <v>354</v>
      </c>
      <c r="D155" s="232" t="s">
        <v>355</v>
      </c>
      <c r="E155" s="216" t="s">
        <v>527</v>
      </c>
      <c r="F155" s="216" t="s">
        <v>352</v>
      </c>
      <c r="G155" s="248">
        <v>1.0169459999999999</v>
      </c>
      <c r="H155" s="265">
        <v>8578064</v>
      </c>
      <c r="I155" s="266"/>
      <c r="J155" s="225"/>
      <c r="K155" s="218"/>
      <c r="L155" s="218"/>
      <c r="M155" s="234"/>
      <c r="N155" s="234"/>
      <c r="O155" s="225"/>
      <c r="P155" s="267"/>
      <c r="Q155" s="234"/>
      <c r="R155" s="234"/>
      <c r="S155" s="234"/>
      <c r="T155" s="254"/>
      <c r="U155" s="234"/>
      <c r="V155" s="220"/>
      <c r="W155" s="218"/>
      <c r="X155" s="218"/>
      <c r="Y155" s="234"/>
      <c r="Z155" s="220"/>
      <c r="AA155" s="218"/>
      <c r="AB155" s="262"/>
      <c r="AC155" s="220"/>
      <c r="AD155" s="220"/>
      <c r="AE155" s="225"/>
      <c r="AF155" s="249"/>
      <c r="AG155" s="249"/>
      <c r="AH155" s="249"/>
      <c r="AI155" s="249"/>
      <c r="AJ155" s="249"/>
      <c r="AK155" s="250"/>
      <c r="AL155" s="150"/>
    </row>
    <row r="156" spans="2:38" x14ac:dyDescent="0.2">
      <c r="B156" s="214" t="s">
        <v>309</v>
      </c>
      <c r="C156" s="214" t="s">
        <v>356</v>
      </c>
      <c r="D156" s="215" t="s">
        <v>357</v>
      </c>
      <c r="E156" s="216" t="s">
        <v>527</v>
      </c>
      <c r="F156" s="216" t="s">
        <v>110</v>
      </c>
      <c r="G156" s="248">
        <v>1.145548</v>
      </c>
      <c r="H156" s="265">
        <v>263753406</v>
      </c>
      <c r="I156" s="268"/>
      <c r="J156" s="225"/>
      <c r="K156" s="218"/>
      <c r="L156" s="218"/>
      <c r="M156" s="234"/>
      <c r="N156" s="234"/>
      <c r="O156" s="263"/>
      <c r="P156" s="225"/>
      <c r="Q156" s="225">
        <f>'Data in Local Currency'!Q156*'Data in Local Currency'!G156</f>
        <v>0</v>
      </c>
      <c r="R156" s="225">
        <f>'Data in Local Currency'!G156*'Data in Local Currency'!R156</f>
        <v>0</v>
      </c>
      <c r="S156" s="225">
        <f>'Data in Local Currency'!S156*'Data in Local Currency'!G156</f>
        <v>0</v>
      </c>
      <c r="T156" s="225">
        <f>'Data in Local Currency'!T156*'Data in Local Currency'!G156</f>
        <v>0</v>
      </c>
      <c r="U156" s="225"/>
      <c r="V156" s="218"/>
      <c r="W156" s="218"/>
      <c r="X156" s="220"/>
      <c r="Y156" s="234"/>
      <c r="Z156" s="220"/>
      <c r="AA156" s="220"/>
      <c r="AB156" s="254"/>
      <c r="AC156" s="220"/>
      <c r="AD156" s="218"/>
      <c r="AE156" s="234"/>
      <c r="AF156" s="250"/>
      <c r="AG156" s="250"/>
      <c r="AH156" s="250"/>
      <c r="AI156" s="250"/>
      <c r="AJ156" s="250"/>
      <c r="AK156" s="250"/>
      <c r="AL156" s="150"/>
    </row>
    <row r="157" spans="2:38" x14ac:dyDescent="0.2">
      <c r="B157" s="214"/>
      <c r="C157" s="214"/>
      <c r="D157" s="215" t="s">
        <v>543</v>
      </c>
      <c r="E157" s="216" t="s">
        <v>527</v>
      </c>
      <c r="F157" s="216" t="s">
        <v>110</v>
      </c>
      <c r="G157" s="248">
        <v>1.145548</v>
      </c>
      <c r="H157" s="265">
        <f>263753406+16581850</f>
        <v>280335256</v>
      </c>
      <c r="I157" s="266"/>
      <c r="J157" s="225"/>
      <c r="K157" s="218"/>
      <c r="L157" s="220"/>
      <c r="M157" s="234"/>
      <c r="N157" s="234"/>
      <c r="O157" s="264"/>
      <c r="P157" s="234"/>
      <c r="Q157" s="234"/>
      <c r="R157" s="234"/>
      <c r="S157" s="234"/>
      <c r="T157" s="234"/>
      <c r="U157" s="234"/>
      <c r="V157" s="220"/>
      <c r="W157" s="218"/>
      <c r="X157" s="218"/>
      <c r="Y157" s="234"/>
      <c r="Z157" s="218"/>
      <c r="AA157" s="218"/>
      <c r="AB157" s="225"/>
      <c r="AC157" s="220"/>
      <c r="AD157" s="220"/>
      <c r="AE157" s="225"/>
      <c r="AF157" s="249"/>
      <c r="AG157" s="249"/>
      <c r="AH157" s="249"/>
      <c r="AI157" s="249"/>
      <c r="AJ157" s="249"/>
      <c r="AK157" s="249"/>
      <c r="AL157" s="150"/>
    </row>
    <row r="158" spans="2:38" x14ac:dyDescent="0.2">
      <c r="B158" s="214" t="s">
        <v>309</v>
      </c>
      <c r="C158" s="214" t="s">
        <v>358</v>
      </c>
      <c r="D158" s="215" t="s">
        <v>536</v>
      </c>
      <c r="E158" s="216" t="s">
        <v>527</v>
      </c>
      <c r="F158" s="216" t="s">
        <v>110</v>
      </c>
      <c r="G158" s="248">
        <v>1.145548</v>
      </c>
      <c r="H158" s="265">
        <v>55325527</v>
      </c>
      <c r="I158" s="266"/>
      <c r="J158" s="225"/>
      <c r="K158" s="218"/>
      <c r="L158" s="218"/>
      <c r="M158" s="234"/>
      <c r="N158" s="234"/>
      <c r="O158" s="225"/>
      <c r="P158" s="254"/>
      <c r="Q158" s="234"/>
      <c r="R158" s="234"/>
      <c r="S158" s="234"/>
      <c r="T158" s="225">
        <f>'Data in Local Currency'!T158*'Data in Local Currency'!G158</f>
        <v>0</v>
      </c>
      <c r="U158" s="234"/>
      <c r="V158" s="218"/>
      <c r="W158" s="218"/>
      <c r="X158" s="218"/>
      <c r="Y158" s="234"/>
      <c r="Z158" s="220"/>
      <c r="AA158" s="218"/>
      <c r="AB158" s="225"/>
      <c r="AC158" s="218"/>
      <c r="AD158" s="218"/>
      <c r="AE158" s="225"/>
      <c r="AF158" s="249"/>
      <c r="AG158" s="249"/>
      <c r="AH158" s="249"/>
      <c r="AI158" s="249"/>
      <c r="AJ158" s="249"/>
      <c r="AK158" s="249"/>
      <c r="AL158" s="150"/>
    </row>
    <row r="159" spans="2:38" x14ac:dyDescent="0.2">
      <c r="B159" s="214" t="s">
        <v>309</v>
      </c>
      <c r="C159" s="214" t="s">
        <v>359</v>
      </c>
      <c r="D159" s="232" t="s">
        <v>360</v>
      </c>
      <c r="E159" s="216" t="s">
        <v>83</v>
      </c>
      <c r="F159" s="216" t="s">
        <v>110</v>
      </c>
      <c r="G159" s="248">
        <v>1.1998614888000001</v>
      </c>
      <c r="H159" s="265">
        <v>3600000</v>
      </c>
      <c r="I159" s="266"/>
      <c r="J159" s="234"/>
      <c r="K159" s="218"/>
      <c r="L159" s="220"/>
      <c r="M159" s="234"/>
      <c r="N159" s="234"/>
      <c r="O159" s="254"/>
      <c r="P159" s="254"/>
      <c r="Q159" s="234"/>
      <c r="R159" s="234"/>
      <c r="S159" s="234"/>
      <c r="T159" s="254"/>
      <c r="U159" s="234"/>
      <c r="V159" s="220"/>
      <c r="W159" s="220"/>
      <c r="X159" s="220"/>
      <c r="Y159" s="234"/>
      <c r="Z159" s="220"/>
      <c r="AA159" s="218"/>
      <c r="AB159" s="262"/>
      <c r="AC159" s="220"/>
      <c r="AD159" s="220"/>
      <c r="AE159" s="225"/>
      <c r="AF159" s="249"/>
      <c r="AG159" s="249"/>
      <c r="AH159" s="249"/>
      <c r="AI159" s="249"/>
      <c r="AJ159" s="250"/>
      <c r="AK159" s="250"/>
      <c r="AL159" s="150"/>
    </row>
    <row r="160" spans="2:38" x14ac:dyDescent="0.2">
      <c r="B160" s="214" t="s">
        <v>309</v>
      </c>
      <c r="C160" s="214" t="s">
        <v>361</v>
      </c>
      <c r="D160" s="215" t="s">
        <v>362</v>
      </c>
      <c r="E160" s="216" t="s">
        <v>527</v>
      </c>
      <c r="F160" s="216" t="s">
        <v>110</v>
      </c>
      <c r="G160" s="248">
        <v>1.145548</v>
      </c>
      <c r="H160" s="265">
        <v>79181000</v>
      </c>
      <c r="I160" s="266"/>
      <c r="J160" s="225"/>
      <c r="K160" s="218"/>
      <c r="L160" s="220"/>
      <c r="M160" s="234"/>
      <c r="N160" s="234"/>
      <c r="O160" s="264"/>
      <c r="P160" s="254"/>
      <c r="Q160" s="234"/>
      <c r="R160" s="234"/>
      <c r="S160" s="234"/>
      <c r="T160" s="254"/>
      <c r="U160" s="234"/>
      <c r="V160" s="220"/>
      <c r="W160" s="218"/>
      <c r="X160" s="218"/>
      <c r="Y160" s="234"/>
      <c r="Z160" s="220"/>
      <c r="AA160" s="218"/>
      <c r="AB160" s="225"/>
      <c r="AC160" s="218"/>
      <c r="AD160" s="218"/>
      <c r="AE160" s="225"/>
      <c r="AF160" s="249"/>
      <c r="AG160" s="249"/>
      <c r="AH160" s="249"/>
      <c r="AI160" s="249"/>
      <c r="AJ160" s="249"/>
      <c r="AK160" s="249"/>
      <c r="AL160" s="150"/>
    </row>
    <row r="161" spans="2:38" x14ac:dyDescent="0.2">
      <c r="B161" s="214"/>
      <c r="C161" s="214"/>
      <c r="D161" s="215" t="s">
        <v>537</v>
      </c>
      <c r="E161" s="216" t="s">
        <v>527</v>
      </c>
      <c r="F161" s="216" t="s">
        <v>110</v>
      </c>
      <c r="G161" s="248">
        <v>1.145548</v>
      </c>
      <c r="H161" s="265">
        <v>71100000</v>
      </c>
      <c r="I161" s="266"/>
      <c r="J161" s="234"/>
      <c r="K161" s="218"/>
      <c r="L161" s="218"/>
      <c r="M161" s="234"/>
      <c r="N161" s="234"/>
      <c r="O161" s="263"/>
      <c r="P161" s="254"/>
      <c r="Q161" s="234"/>
      <c r="R161" s="234"/>
      <c r="S161" s="234"/>
      <c r="T161" s="254"/>
      <c r="U161" s="234"/>
      <c r="V161" s="218"/>
      <c r="W161" s="218"/>
      <c r="X161" s="218">
        <f>'Data in Local Currency'!X161*'Data in Local Currency'!G161</f>
        <v>0</v>
      </c>
      <c r="Y161" s="234"/>
      <c r="Z161" s="220"/>
      <c r="AA161" s="220"/>
      <c r="AB161" s="234"/>
      <c r="AC161" s="218"/>
      <c r="AD161" s="218"/>
      <c r="AE161" s="234"/>
      <c r="AF161" s="250"/>
      <c r="AG161" s="250"/>
      <c r="AH161" s="250"/>
      <c r="AI161" s="250"/>
      <c r="AJ161" s="250"/>
      <c r="AK161" s="250"/>
      <c r="AL161" s="150"/>
    </row>
    <row r="162" spans="2:38" x14ac:dyDescent="0.2">
      <c r="B162" s="214" t="s">
        <v>309</v>
      </c>
      <c r="C162" s="214" t="s">
        <v>365</v>
      </c>
      <c r="D162" s="215" t="s">
        <v>366</v>
      </c>
      <c r="E162" s="216" t="s">
        <v>527</v>
      </c>
      <c r="F162" s="216" t="s">
        <v>110</v>
      </c>
      <c r="G162" s="248">
        <v>1.145548</v>
      </c>
      <c r="H162" s="265">
        <v>6800000</v>
      </c>
      <c r="I162" s="266"/>
      <c r="J162" s="225"/>
      <c r="K162" s="218"/>
      <c r="L162" s="218"/>
      <c r="M162" s="234"/>
      <c r="N162" s="234"/>
      <c r="O162" s="263"/>
      <c r="P162" s="254"/>
      <c r="Q162" s="234"/>
      <c r="R162" s="234"/>
      <c r="S162" s="234"/>
      <c r="T162" s="254"/>
      <c r="U162" s="234"/>
      <c r="V162" s="218"/>
      <c r="W162" s="218"/>
      <c r="X162" s="218"/>
      <c r="Y162" s="234"/>
      <c r="Z162" s="220"/>
      <c r="AA162" s="218"/>
      <c r="AB162" s="262"/>
      <c r="AC162" s="218"/>
      <c r="AD162" s="218"/>
      <c r="AE162" s="225"/>
      <c r="AF162" s="249"/>
      <c r="AG162" s="249"/>
      <c r="AH162" s="249"/>
      <c r="AI162" s="249"/>
      <c r="AJ162" s="249"/>
      <c r="AK162" s="249"/>
      <c r="AL162" s="150"/>
    </row>
    <row r="163" spans="2:38" x14ac:dyDescent="0.2">
      <c r="B163" s="214" t="s">
        <v>367</v>
      </c>
      <c r="C163" s="214" t="s">
        <v>368</v>
      </c>
      <c r="D163" s="215" t="s">
        <v>369</v>
      </c>
      <c r="E163" s="216" t="s">
        <v>527</v>
      </c>
      <c r="F163" s="216" t="s">
        <v>370</v>
      </c>
      <c r="G163" s="248">
        <v>0.15343499999999999</v>
      </c>
      <c r="H163" s="242">
        <v>30300000</v>
      </c>
      <c r="I163" s="220"/>
      <c r="J163" s="225"/>
      <c r="K163" s="218"/>
      <c r="L163" s="218"/>
      <c r="M163" s="225"/>
      <c r="N163" s="225"/>
      <c r="O163" s="225"/>
      <c r="P163" s="234"/>
      <c r="Q163" s="234"/>
      <c r="R163" s="234"/>
      <c r="S163" s="234"/>
      <c r="T163" s="225">
        <f>'Data in Local Currency'!T163*'Data in Local Currency'!G163</f>
        <v>0</v>
      </c>
      <c r="U163" s="234"/>
      <c r="V163" s="218"/>
      <c r="W163" s="218"/>
      <c r="X163" s="218"/>
      <c r="Y163" s="234"/>
      <c r="Z163" s="220"/>
      <c r="AA163" s="218"/>
      <c r="AB163" s="225"/>
      <c r="AC163" s="218"/>
      <c r="AD163" s="218"/>
      <c r="AE163" s="225"/>
      <c r="AF163" s="249"/>
      <c r="AG163" s="249"/>
      <c r="AH163" s="249"/>
      <c r="AI163" s="249"/>
      <c r="AJ163" s="249"/>
      <c r="AK163" s="249"/>
      <c r="AL163" s="150"/>
    </row>
    <row r="164" spans="2:38" x14ac:dyDescent="0.2">
      <c r="B164" s="214" t="s">
        <v>367</v>
      </c>
      <c r="C164" s="214" t="s">
        <v>371</v>
      </c>
      <c r="D164" s="215" t="s">
        <v>372</v>
      </c>
      <c r="E164" s="216" t="s">
        <v>527</v>
      </c>
      <c r="F164" s="216" t="s">
        <v>373</v>
      </c>
      <c r="G164" s="248">
        <v>8.6E-3</v>
      </c>
      <c r="H164" s="242">
        <v>10596441</v>
      </c>
      <c r="I164" s="257"/>
      <c r="J164" s="225"/>
      <c r="K164" s="218"/>
      <c r="L164" s="220"/>
      <c r="M164" s="234"/>
      <c r="N164" s="234"/>
      <c r="O164" s="234"/>
      <c r="P164" s="225"/>
      <c r="Q164" s="234"/>
      <c r="R164" s="234"/>
      <c r="S164" s="234"/>
      <c r="T164" s="234"/>
      <c r="U164" s="234"/>
      <c r="V164" s="220"/>
      <c r="W164" s="218"/>
      <c r="X164" s="218"/>
      <c r="Y164" s="234"/>
      <c r="Z164" s="220"/>
      <c r="AA164" s="218"/>
      <c r="AB164" s="225"/>
      <c r="AC164" s="218"/>
      <c r="AD164" s="218"/>
      <c r="AE164" s="225"/>
      <c r="AF164" s="249"/>
      <c r="AG164" s="249"/>
      <c r="AH164" s="249"/>
      <c r="AI164" s="249"/>
      <c r="AJ164" s="249"/>
      <c r="AK164" s="249"/>
      <c r="AL164" s="150"/>
    </row>
    <row r="165" spans="2:38" x14ac:dyDescent="0.2">
      <c r="B165" s="214" t="s">
        <v>367</v>
      </c>
      <c r="C165" s="214" t="s">
        <v>374</v>
      </c>
      <c r="D165" s="215" t="s">
        <v>542</v>
      </c>
      <c r="E165" s="216" t="s">
        <v>527</v>
      </c>
      <c r="F165" s="216" t="s">
        <v>110</v>
      </c>
      <c r="G165" s="248">
        <v>1.145548</v>
      </c>
      <c r="H165" s="242">
        <v>25000000</v>
      </c>
      <c r="I165" s="220"/>
      <c r="J165" s="225"/>
      <c r="K165" s="218"/>
      <c r="L165" s="218"/>
      <c r="M165" s="234"/>
      <c r="N165" s="234"/>
      <c r="O165" s="225"/>
      <c r="P165" s="234"/>
      <c r="Q165" s="234"/>
      <c r="R165" s="234"/>
      <c r="S165" s="234"/>
      <c r="T165" s="234"/>
      <c r="U165" s="234"/>
      <c r="V165" s="220"/>
      <c r="W165" s="218"/>
      <c r="X165" s="218"/>
      <c r="Y165" s="234"/>
      <c r="Z165" s="220"/>
      <c r="AA165" s="218"/>
      <c r="AB165" s="225"/>
      <c r="AC165" s="218"/>
      <c r="AD165" s="218"/>
      <c r="AE165" s="225"/>
      <c r="AF165" s="249"/>
      <c r="AG165" s="249"/>
      <c r="AH165" s="249"/>
      <c r="AI165" s="249"/>
      <c r="AJ165" s="249"/>
      <c r="AK165" s="249"/>
      <c r="AL165" s="150"/>
    </row>
    <row r="166" spans="2:38" x14ac:dyDescent="0.2">
      <c r="B166" s="214" t="s">
        <v>367</v>
      </c>
      <c r="C166" s="214" t="s">
        <v>375</v>
      </c>
      <c r="D166" s="215" t="s">
        <v>376</v>
      </c>
      <c r="E166" s="216" t="s">
        <v>527</v>
      </c>
      <c r="F166" s="216" t="s">
        <v>377</v>
      </c>
      <c r="G166" s="248">
        <v>0.115562</v>
      </c>
      <c r="H166" s="242">
        <v>57176638</v>
      </c>
      <c r="I166" s="218"/>
      <c r="J166" s="225"/>
      <c r="K166" s="218"/>
      <c r="L166" s="218"/>
      <c r="M166" s="225"/>
      <c r="N166" s="225"/>
      <c r="O166" s="225"/>
      <c r="P166" s="225"/>
      <c r="Q166" s="234"/>
      <c r="R166" s="234"/>
      <c r="S166" s="234"/>
      <c r="T166" s="234"/>
      <c r="U166" s="234"/>
      <c r="V166" s="218"/>
      <c r="W166" s="218"/>
      <c r="X166" s="218"/>
      <c r="Y166" s="234"/>
      <c r="Z166" s="218"/>
      <c r="AA166" s="218"/>
      <c r="AB166" s="225"/>
      <c r="AC166" s="218"/>
      <c r="AD166" s="218"/>
      <c r="AE166" s="225"/>
      <c r="AF166" s="249"/>
      <c r="AG166" s="249"/>
      <c r="AH166" s="249"/>
      <c r="AI166" s="249"/>
      <c r="AJ166" s="249"/>
      <c r="AK166" s="249"/>
      <c r="AL166" s="150"/>
    </row>
    <row r="167" spans="2:38" x14ac:dyDescent="0.2">
      <c r="B167" s="214" t="s">
        <v>367</v>
      </c>
      <c r="C167" s="214" t="s">
        <v>378</v>
      </c>
      <c r="D167" s="215" t="s">
        <v>379</v>
      </c>
      <c r="E167" s="216" t="s">
        <v>527</v>
      </c>
      <c r="F167" s="216" t="s">
        <v>380</v>
      </c>
      <c r="G167" s="248">
        <v>0.11273900000000001</v>
      </c>
      <c r="H167" s="242">
        <v>42017000</v>
      </c>
      <c r="I167" s="220"/>
      <c r="J167" s="234"/>
      <c r="K167" s="218"/>
      <c r="L167" s="218"/>
      <c r="M167" s="225"/>
      <c r="N167" s="225"/>
      <c r="O167" s="225"/>
      <c r="P167" s="234"/>
      <c r="Q167" s="234"/>
      <c r="R167" s="234"/>
      <c r="S167" s="234"/>
      <c r="T167" s="225">
        <f>'Data in Local Currency'!T167*'Data in Local Currency'!G167</f>
        <v>0</v>
      </c>
      <c r="U167" s="225"/>
      <c r="V167" s="218"/>
      <c r="W167" s="218"/>
      <c r="X167" s="218"/>
      <c r="Y167" s="234"/>
      <c r="Z167" s="220"/>
      <c r="AA167" s="218"/>
      <c r="AB167" s="225"/>
      <c r="AC167" s="218"/>
      <c r="AD167" s="218"/>
      <c r="AE167" s="225"/>
      <c r="AF167" s="249"/>
      <c r="AG167" s="249"/>
      <c r="AH167" s="249"/>
      <c r="AI167" s="249"/>
      <c r="AJ167" s="249"/>
      <c r="AK167" s="249"/>
      <c r="AL167" s="150"/>
    </row>
    <row r="168" spans="2:38" x14ac:dyDescent="0.2">
      <c r="B168" s="214" t="s">
        <v>367</v>
      </c>
      <c r="C168" s="214" t="s">
        <v>381</v>
      </c>
      <c r="D168" s="232" t="s">
        <v>382</v>
      </c>
      <c r="E168" s="216" t="s">
        <v>83</v>
      </c>
      <c r="F168" s="216" t="s">
        <v>110</v>
      </c>
      <c r="G168" s="248">
        <v>1.1998614888000001</v>
      </c>
      <c r="H168" s="242">
        <v>6100000</v>
      </c>
      <c r="I168" s="220"/>
      <c r="J168" s="225"/>
      <c r="K168" s="218"/>
      <c r="L168" s="218"/>
      <c r="M168" s="234"/>
      <c r="N168" s="234"/>
      <c r="O168" s="225"/>
      <c r="P168" s="234"/>
      <c r="Q168" s="234"/>
      <c r="R168" s="234"/>
      <c r="S168" s="234"/>
      <c r="T168" s="234"/>
      <c r="U168" s="234"/>
      <c r="V168" s="220"/>
      <c r="W168" s="220"/>
      <c r="X168" s="220"/>
      <c r="Y168" s="234"/>
      <c r="Z168" s="220"/>
      <c r="AA168" s="220"/>
      <c r="AB168" s="234"/>
      <c r="AC168" s="220"/>
      <c r="AD168" s="220"/>
      <c r="AE168" s="225"/>
      <c r="AF168" s="250"/>
      <c r="AG168" s="250"/>
      <c r="AH168" s="250"/>
      <c r="AI168" s="250"/>
      <c r="AJ168" s="250"/>
      <c r="AK168" s="250"/>
      <c r="AL168" s="150"/>
    </row>
    <row r="169" spans="2:38" x14ac:dyDescent="0.2">
      <c r="B169" s="214" t="s">
        <v>367</v>
      </c>
      <c r="C169" s="214" t="s">
        <v>383</v>
      </c>
      <c r="D169" s="232" t="s">
        <v>384</v>
      </c>
      <c r="E169" s="216" t="s">
        <v>385</v>
      </c>
      <c r="F169" s="216" t="s">
        <v>110</v>
      </c>
      <c r="G169" s="248">
        <v>1.169062244</v>
      </c>
      <c r="H169" s="242">
        <v>2900000</v>
      </c>
      <c r="I169" s="220"/>
      <c r="J169" s="234"/>
      <c r="K169" s="218"/>
      <c r="L169" s="218"/>
      <c r="M169" s="234"/>
      <c r="N169" s="234"/>
      <c r="O169" s="225"/>
      <c r="P169" s="234"/>
      <c r="Q169" s="234"/>
      <c r="R169" s="234"/>
      <c r="S169" s="234"/>
      <c r="T169" s="234"/>
      <c r="U169" s="234"/>
      <c r="V169" s="220"/>
      <c r="W169" s="220"/>
      <c r="X169" s="220"/>
      <c r="Y169" s="234"/>
      <c r="Z169" s="220"/>
      <c r="AA169" s="220"/>
      <c r="AB169" s="234"/>
      <c r="AC169" s="220"/>
      <c r="AD169" s="220"/>
      <c r="AE169" s="234"/>
      <c r="AF169" s="250"/>
      <c r="AG169" s="250"/>
      <c r="AH169" s="250"/>
      <c r="AI169" s="250"/>
      <c r="AJ169" s="250"/>
      <c r="AK169" s="250"/>
      <c r="AL169" s="150"/>
    </row>
    <row r="170" spans="2:38" x14ac:dyDescent="0.2">
      <c r="B170" s="214" t="s">
        <v>367</v>
      </c>
      <c r="C170" s="214" t="s">
        <v>387</v>
      </c>
      <c r="D170" s="215" t="s">
        <v>388</v>
      </c>
      <c r="E170" s="216" t="s">
        <v>527</v>
      </c>
      <c r="F170" s="216" t="s">
        <v>110</v>
      </c>
      <c r="G170" s="248">
        <v>1.145548</v>
      </c>
      <c r="H170" s="242">
        <f>(3007644+61894)</f>
        <v>3069538</v>
      </c>
      <c r="I170" s="220"/>
      <c r="J170" s="225"/>
      <c r="K170" s="218"/>
      <c r="L170" s="218"/>
      <c r="M170" s="234"/>
      <c r="N170" s="234"/>
      <c r="O170" s="225"/>
      <c r="P170" s="234"/>
      <c r="Q170" s="234"/>
      <c r="R170" s="234"/>
      <c r="S170" s="234"/>
      <c r="T170" s="225">
        <f>'Data in Local Currency'!T170*'Data in Local Currency'!G170</f>
        <v>0</v>
      </c>
      <c r="U170" s="234"/>
      <c r="V170" s="220"/>
      <c r="W170" s="218"/>
      <c r="X170" s="218"/>
      <c r="Y170" s="234"/>
      <c r="Z170" s="220"/>
      <c r="AA170" s="218"/>
      <c r="AB170" s="225"/>
      <c r="AC170" s="218"/>
      <c r="AD170" s="218"/>
      <c r="AE170" s="225"/>
      <c r="AF170" s="249"/>
      <c r="AG170" s="249"/>
      <c r="AH170" s="249"/>
      <c r="AI170" s="249"/>
      <c r="AJ170" s="249"/>
      <c r="AK170" s="249"/>
      <c r="AL170" s="150"/>
    </row>
    <row r="171" spans="2:38" x14ac:dyDescent="0.2">
      <c r="B171" s="214" t="s">
        <v>390</v>
      </c>
      <c r="C171" s="214" t="s">
        <v>391</v>
      </c>
      <c r="D171" s="215" t="s">
        <v>1026</v>
      </c>
      <c r="E171" s="216" t="s">
        <v>199</v>
      </c>
      <c r="F171" s="216" t="s">
        <v>393</v>
      </c>
      <c r="G171" s="248">
        <v>0.740456</v>
      </c>
      <c r="H171" s="265">
        <v>23435252</v>
      </c>
      <c r="I171" s="266"/>
      <c r="J171" s="225"/>
      <c r="K171" s="218"/>
      <c r="L171" s="218"/>
      <c r="M171" s="234"/>
      <c r="N171" s="234"/>
      <c r="O171" s="263"/>
      <c r="P171" s="254"/>
      <c r="Q171" s="234"/>
      <c r="R171" s="234"/>
      <c r="S171" s="234"/>
      <c r="T171" s="234"/>
      <c r="U171" s="234"/>
      <c r="V171" s="218"/>
      <c r="W171" s="218"/>
      <c r="X171" s="218"/>
      <c r="Y171" s="234"/>
      <c r="Z171" s="218"/>
      <c r="AA171" s="218"/>
      <c r="AB171" s="262"/>
      <c r="AC171" s="218"/>
      <c r="AD171" s="218"/>
      <c r="AE171" s="225"/>
      <c r="AF171" s="249"/>
      <c r="AG171" s="249"/>
      <c r="AH171" s="249"/>
      <c r="AI171" s="249"/>
      <c r="AJ171" s="249"/>
      <c r="AK171" s="249"/>
      <c r="AL171" s="150"/>
    </row>
    <row r="172" spans="2:38" x14ac:dyDescent="0.2">
      <c r="B172" s="214" t="s">
        <v>390</v>
      </c>
      <c r="C172" s="214" t="s">
        <v>391</v>
      </c>
      <c r="D172" s="215" t="s">
        <v>394</v>
      </c>
      <c r="E172" s="216" t="s">
        <v>199</v>
      </c>
      <c r="F172" s="216" t="s">
        <v>393</v>
      </c>
      <c r="G172" s="248">
        <v>0.74045602079999995</v>
      </c>
      <c r="H172" s="242">
        <v>8400000</v>
      </c>
      <c r="I172" s="220"/>
      <c r="J172" s="234"/>
      <c r="K172" s="218"/>
      <c r="L172" s="218"/>
      <c r="M172" s="234"/>
      <c r="N172" s="234"/>
      <c r="O172" s="225"/>
      <c r="P172" s="234"/>
      <c r="Q172" s="234"/>
      <c r="R172" s="234"/>
      <c r="S172" s="234"/>
      <c r="T172" s="234"/>
      <c r="U172" s="234"/>
      <c r="V172" s="220"/>
      <c r="W172" s="218"/>
      <c r="X172" s="218"/>
      <c r="Y172" s="234"/>
      <c r="Z172" s="220"/>
      <c r="AA172" s="218"/>
      <c r="AB172" s="234"/>
      <c r="AC172" s="218"/>
      <c r="AD172" s="218"/>
      <c r="AE172" s="225"/>
      <c r="AF172" s="249"/>
      <c r="AG172" s="249"/>
      <c r="AH172" s="249"/>
      <c r="AI172" s="249"/>
      <c r="AJ172" s="249"/>
      <c r="AK172" s="249"/>
      <c r="AL172" s="150"/>
    </row>
    <row r="173" spans="2:38" x14ac:dyDescent="0.2">
      <c r="B173" s="214" t="s">
        <v>390</v>
      </c>
      <c r="C173" s="214" t="s">
        <v>391</v>
      </c>
      <c r="D173" s="215" t="s">
        <v>395</v>
      </c>
      <c r="E173" s="216" t="s">
        <v>199</v>
      </c>
      <c r="F173" s="216" t="s">
        <v>393</v>
      </c>
      <c r="G173" s="248">
        <v>0.74045602079999995</v>
      </c>
      <c r="H173" s="242">
        <v>1272634</v>
      </c>
      <c r="I173" s="220"/>
      <c r="J173" s="234"/>
      <c r="K173" s="218"/>
      <c r="L173" s="218"/>
      <c r="M173" s="234"/>
      <c r="N173" s="234"/>
      <c r="O173" s="225"/>
      <c r="P173" s="234"/>
      <c r="Q173" s="234"/>
      <c r="R173" s="234"/>
      <c r="S173" s="234"/>
      <c r="T173" s="234"/>
      <c r="U173" s="234"/>
      <c r="V173" s="220"/>
      <c r="W173" s="220"/>
      <c r="X173" s="220"/>
      <c r="Y173" s="234"/>
      <c r="Z173" s="220"/>
      <c r="AA173" s="220"/>
      <c r="AB173" s="234"/>
      <c r="AC173" s="220"/>
      <c r="AD173" s="220"/>
      <c r="AE173" s="234"/>
      <c r="AF173" s="250"/>
      <c r="AG173" s="250"/>
      <c r="AH173" s="250"/>
      <c r="AI173" s="250"/>
      <c r="AJ173" s="250"/>
      <c r="AK173" s="250"/>
      <c r="AL173" s="150"/>
    </row>
    <row r="174" spans="2:38" x14ac:dyDescent="0.2">
      <c r="B174" s="214" t="s">
        <v>390</v>
      </c>
      <c r="C174" s="214" t="s">
        <v>391</v>
      </c>
      <c r="D174" s="232" t="s">
        <v>396</v>
      </c>
      <c r="E174" s="216" t="s">
        <v>199</v>
      </c>
      <c r="F174" s="216" t="s">
        <v>393</v>
      </c>
      <c r="G174" s="248">
        <v>0.74045602079999995</v>
      </c>
      <c r="H174" s="242">
        <v>13700000</v>
      </c>
      <c r="I174" s="220"/>
      <c r="J174" s="234"/>
      <c r="K174" s="218"/>
      <c r="L174" s="218"/>
      <c r="M174" s="234"/>
      <c r="N174" s="234"/>
      <c r="O174" s="225"/>
      <c r="P174" s="234"/>
      <c r="Q174" s="234"/>
      <c r="R174" s="234"/>
      <c r="S174" s="234"/>
      <c r="T174" s="234"/>
      <c r="U174" s="234"/>
      <c r="V174" s="218"/>
      <c r="W174" s="218"/>
      <c r="X174" s="218"/>
      <c r="Y174" s="234"/>
      <c r="Z174" s="218"/>
      <c r="AA174" s="218"/>
      <c r="AB174" s="234"/>
      <c r="AC174" s="218"/>
      <c r="AD174" s="218"/>
      <c r="AE174" s="269"/>
      <c r="AF174" s="249"/>
      <c r="AG174" s="249"/>
      <c r="AH174" s="249"/>
      <c r="AI174" s="249"/>
      <c r="AJ174" s="249"/>
      <c r="AK174" s="249"/>
      <c r="AL174" s="150"/>
    </row>
    <row r="175" spans="2:38" x14ac:dyDescent="0.2">
      <c r="B175" s="214" t="s">
        <v>390</v>
      </c>
      <c r="C175" s="214" t="s">
        <v>397</v>
      </c>
      <c r="D175" s="215" t="s">
        <v>538</v>
      </c>
      <c r="E175" s="216" t="s">
        <v>199</v>
      </c>
      <c r="F175" s="216" t="s">
        <v>393</v>
      </c>
      <c r="G175" s="248">
        <v>0.74045602079999995</v>
      </c>
      <c r="H175" s="242">
        <f>633000+2246000+4800</f>
        <v>2883800</v>
      </c>
      <c r="I175" s="220"/>
      <c r="J175" s="234"/>
      <c r="K175" s="218"/>
      <c r="L175" s="218"/>
      <c r="M175" s="234"/>
      <c r="N175" s="234"/>
      <c r="O175" s="225"/>
      <c r="P175" s="234"/>
      <c r="Q175" s="234"/>
      <c r="R175" s="234"/>
      <c r="S175" s="234"/>
      <c r="T175" s="234"/>
      <c r="U175" s="234"/>
      <c r="V175" s="220"/>
      <c r="W175" s="218"/>
      <c r="X175" s="218">
        <f>'Data in Local Currency'!X175*'Data in Local Currency'!G175</f>
        <v>0</v>
      </c>
      <c r="Y175" s="234"/>
      <c r="Z175" s="220"/>
      <c r="AA175" s="220"/>
      <c r="AB175" s="225"/>
      <c r="AC175" s="218"/>
      <c r="AD175" s="218"/>
      <c r="AE175" s="225"/>
      <c r="AF175" s="249"/>
      <c r="AG175" s="249"/>
      <c r="AH175" s="250"/>
      <c r="AI175" s="249"/>
      <c r="AJ175" s="250"/>
      <c r="AK175" s="249"/>
      <c r="AL175" s="150"/>
    </row>
    <row r="176" spans="2:38" x14ac:dyDescent="0.2">
      <c r="B176" s="214" t="s">
        <v>390</v>
      </c>
      <c r="C176" s="214" t="s">
        <v>391</v>
      </c>
      <c r="D176" s="215" t="s">
        <v>398</v>
      </c>
      <c r="E176" s="216" t="s">
        <v>199</v>
      </c>
      <c r="F176" s="216" t="s">
        <v>393</v>
      </c>
      <c r="G176" s="248">
        <v>0.74045602079999995</v>
      </c>
      <c r="H176" s="242">
        <v>8496473</v>
      </c>
      <c r="I176" s="220"/>
      <c r="J176" s="234"/>
      <c r="K176" s="218"/>
      <c r="L176" s="220"/>
      <c r="M176" s="234"/>
      <c r="N176" s="234"/>
      <c r="O176" s="234"/>
      <c r="P176" s="234"/>
      <c r="Q176" s="234"/>
      <c r="R176" s="234"/>
      <c r="S176" s="234"/>
      <c r="T176" s="234"/>
      <c r="U176" s="234"/>
      <c r="V176" s="220"/>
      <c r="W176" s="218"/>
      <c r="X176" s="218">
        <f>'Data in Local Currency'!X176*'Data in Local Currency'!G176</f>
        <v>0</v>
      </c>
      <c r="Y176" s="234"/>
      <c r="Z176" s="220"/>
      <c r="AA176" s="220"/>
      <c r="AB176" s="225"/>
      <c r="AC176" s="218"/>
      <c r="AD176" s="218"/>
      <c r="AE176" s="225"/>
      <c r="AF176" s="250"/>
      <c r="AG176" s="250"/>
      <c r="AH176" s="250"/>
      <c r="AI176" s="250"/>
      <c r="AJ176" s="250"/>
      <c r="AK176" s="250"/>
      <c r="AL176" s="150"/>
    </row>
    <row r="177" spans="2:38" x14ac:dyDescent="0.2">
      <c r="B177" s="214" t="s">
        <v>390</v>
      </c>
      <c r="C177" s="214" t="s">
        <v>391</v>
      </c>
      <c r="D177" s="215" t="s">
        <v>399</v>
      </c>
      <c r="E177" s="216" t="s">
        <v>199</v>
      </c>
      <c r="F177" s="216" t="s">
        <v>393</v>
      </c>
      <c r="G177" s="248">
        <v>0.74045602079999995</v>
      </c>
      <c r="H177" s="242">
        <v>44400000</v>
      </c>
      <c r="I177" s="220"/>
      <c r="J177" s="225"/>
      <c r="K177" s="218"/>
      <c r="L177" s="218"/>
      <c r="M177" s="234"/>
      <c r="N177" s="234"/>
      <c r="O177" s="225"/>
      <c r="P177" s="234"/>
      <c r="Q177" s="234"/>
      <c r="R177" s="234"/>
      <c r="S177" s="234"/>
      <c r="T177" s="234"/>
      <c r="U177" s="234"/>
      <c r="V177" s="218"/>
      <c r="W177" s="218"/>
      <c r="X177" s="218"/>
      <c r="Y177" s="234"/>
      <c r="Z177" s="220"/>
      <c r="AA177" s="218"/>
      <c r="AB177" s="225"/>
      <c r="AC177" s="218"/>
      <c r="AD177" s="218"/>
      <c r="AE177" s="225"/>
      <c r="AF177" s="249"/>
      <c r="AG177" s="249"/>
      <c r="AH177" s="249"/>
      <c r="AI177" s="249"/>
      <c r="AJ177" s="249"/>
      <c r="AK177" s="249"/>
      <c r="AL177" s="150"/>
    </row>
    <row r="178" spans="2:38" x14ac:dyDescent="0.2">
      <c r="B178" s="214" t="s">
        <v>390</v>
      </c>
      <c r="C178" s="214" t="s">
        <v>391</v>
      </c>
      <c r="D178" s="215" t="s">
        <v>400</v>
      </c>
      <c r="E178" s="216" t="s">
        <v>199</v>
      </c>
      <c r="F178" s="216" t="s">
        <v>393</v>
      </c>
      <c r="G178" s="248">
        <v>0.74045602079999995</v>
      </c>
      <c r="H178" s="242">
        <v>38100000</v>
      </c>
      <c r="I178" s="220"/>
      <c r="J178" s="225"/>
      <c r="K178" s="218"/>
      <c r="L178" s="218"/>
      <c r="M178" s="234"/>
      <c r="N178" s="234"/>
      <c r="O178" s="225"/>
      <c r="P178" s="234"/>
      <c r="Q178" s="234"/>
      <c r="R178" s="234"/>
      <c r="S178" s="234"/>
      <c r="T178" s="225">
        <f>'Data in Local Currency'!T178*'Data in Local Currency'!G178</f>
        <v>0</v>
      </c>
      <c r="U178" s="234"/>
      <c r="V178" s="218"/>
      <c r="W178" s="218"/>
      <c r="X178" s="218"/>
      <c r="Y178" s="234"/>
      <c r="Z178" s="218"/>
      <c r="AA178" s="218"/>
      <c r="AB178" s="234"/>
      <c r="AC178" s="218"/>
      <c r="AD178" s="218"/>
      <c r="AE178" s="225"/>
      <c r="AF178" s="249"/>
      <c r="AG178" s="249"/>
      <c r="AH178" s="249"/>
      <c r="AI178" s="249"/>
      <c r="AJ178" s="249"/>
      <c r="AK178" s="249"/>
      <c r="AL178" s="150"/>
    </row>
    <row r="179" spans="2:38" x14ac:dyDescent="0.2">
      <c r="B179" s="214" t="s">
        <v>390</v>
      </c>
      <c r="C179" s="214" t="s">
        <v>401</v>
      </c>
      <c r="D179" s="232" t="s">
        <v>402</v>
      </c>
      <c r="E179" s="216" t="s">
        <v>199</v>
      </c>
      <c r="F179" s="216" t="s">
        <v>403</v>
      </c>
      <c r="G179" s="248">
        <v>0.67665699999999995</v>
      </c>
      <c r="H179" s="242">
        <v>6870000</v>
      </c>
      <c r="I179" s="220"/>
      <c r="J179" s="234"/>
      <c r="K179" s="218"/>
      <c r="L179" s="218"/>
      <c r="M179" s="234"/>
      <c r="N179" s="234"/>
      <c r="O179" s="225"/>
      <c r="P179" s="234"/>
      <c r="Q179" s="234"/>
      <c r="R179" s="234"/>
      <c r="S179" s="234"/>
      <c r="T179" s="234"/>
      <c r="U179" s="234"/>
      <c r="V179" s="220"/>
      <c r="W179" s="218"/>
      <c r="X179" s="218"/>
      <c r="Y179" s="234"/>
      <c r="Z179" s="220"/>
      <c r="AA179" s="218"/>
      <c r="AB179" s="262"/>
      <c r="AC179" s="218"/>
      <c r="AD179" s="218"/>
      <c r="AE179" s="225"/>
      <c r="AF179" s="249"/>
      <c r="AG179" s="249"/>
      <c r="AH179" s="249"/>
      <c r="AI179" s="249"/>
      <c r="AJ179" s="249"/>
      <c r="AK179" s="249"/>
    </row>
    <row r="180" spans="2:38" x14ac:dyDescent="0.2">
      <c r="B180" s="214" t="s">
        <v>390</v>
      </c>
      <c r="C180" s="214" t="s">
        <v>401</v>
      </c>
      <c r="D180" s="215" t="s">
        <v>404</v>
      </c>
      <c r="E180" s="216" t="s">
        <v>135</v>
      </c>
      <c r="F180" s="216" t="s">
        <v>403</v>
      </c>
      <c r="G180" s="248">
        <v>0.72430583240000002</v>
      </c>
      <c r="H180" s="242">
        <v>6144686</v>
      </c>
      <c r="I180" s="220"/>
      <c r="J180" s="225"/>
      <c r="K180" s="218"/>
      <c r="L180" s="218"/>
      <c r="M180" s="234"/>
      <c r="N180" s="234"/>
      <c r="O180" s="225"/>
      <c r="P180" s="234"/>
      <c r="Q180" s="234"/>
      <c r="R180" s="234"/>
      <c r="S180" s="234"/>
      <c r="T180" s="234"/>
      <c r="U180" s="234"/>
      <c r="V180" s="220"/>
      <c r="W180" s="218"/>
      <c r="X180" s="218"/>
      <c r="Y180" s="234"/>
      <c r="Z180" s="220"/>
      <c r="AA180" s="218"/>
      <c r="AB180" s="234"/>
      <c r="AC180" s="218"/>
      <c r="AD180" s="218"/>
      <c r="AE180" s="225"/>
      <c r="AF180" s="249"/>
      <c r="AG180" s="249"/>
      <c r="AH180" s="249"/>
      <c r="AI180" s="249"/>
      <c r="AJ180" s="249"/>
      <c r="AK180" s="249"/>
    </row>
    <row r="181" spans="2:38" x14ac:dyDescent="0.2">
      <c r="B181" s="214" t="s">
        <v>390</v>
      </c>
      <c r="C181" s="214" t="s">
        <v>401</v>
      </c>
      <c r="D181" s="215" t="s">
        <v>405</v>
      </c>
      <c r="E181" s="216" t="s">
        <v>199</v>
      </c>
      <c r="F181" s="216" t="s">
        <v>403</v>
      </c>
      <c r="G181" s="248">
        <v>0.67665657820000003</v>
      </c>
      <c r="H181" s="242">
        <v>353000</v>
      </c>
      <c r="I181" s="220"/>
      <c r="J181" s="234"/>
      <c r="K181" s="218"/>
      <c r="L181" s="218"/>
      <c r="M181" s="234"/>
      <c r="N181" s="234"/>
      <c r="O181" s="225"/>
      <c r="P181" s="234"/>
      <c r="Q181" s="234"/>
      <c r="R181" s="234"/>
      <c r="S181" s="234"/>
      <c r="T181" s="234"/>
      <c r="U181" s="234"/>
      <c r="V181" s="220"/>
      <c r="W181" s="218"/>
      <c r="X181" s="218"/>
      <c r="Y181" s="234"/>
      <c r="Z181" s="220"/>
      <c r="AA181" s="218"/>
      <c r="AB181" s="234"/>
      <c r="AC181" s="218"/>
      <c r="AD181" s="218"/>
      <c r="AE181" s="225"/>
      <c r="AF181" s="249"/>
      <c r="AG181" s="249"/>
      <c r="AH181" s="249"/>
      <c r="AI181" s="249"/>
      <c r="AJ181" s="249"/>
      <c r="AK181" s="249"/>
      <c r="AL181" s="171"/>
    </row>
    <row r="182" spans="2:38" x14ac:dyDescent="0.2">
      <c r="B182" s="214" t="s">
        <v>390</v>
      </c>
      <c r="C182" s="214" t="s">
        <v>401</v>
      </c>
      <c r="D182" s="215" t="s">
        <v>407</v>
      </c>
      <c r="E182" s="216" t="s">
        <v>199</v>
      </c>
      <c r="F182" s="216" t="s">
        <v>403</v>
      </c>
      <c r="G182" s="248">
        <v>0.67665657820000003</v>
      </c>
      <c r="H182" s="242">
        <f>10202526+1063856+9263666</f>
        <v>20530048</v>
      </c>
      <c r="I182" s="220"/>
      <c r="J182" s="234"/>
      <c r="K182" s="218"/>
      <c r="L182" s="218"/>
      <c r="M182" s="225"/>
      <c r="N182" s="225"/>
      <c r="O182" s="225"/>
      <c r="P182" s="234"/>
      <c r="Q182" s="234"/>
      <c r="R182" s="234"/>
      <c r="S182" s="234"/>
      <c r="T182" s="225">
        <f>'Data in Local Currency'!T182*'Data in Local Currency'!G182</f>
        <v>0</v>
      </c>
      <c r="U182" s="234"/>
      <c r="V182" s="218"/>
      <c r="W182" s="218"/>
      <c r="X182" s="218"/>
      <c r="Y182" s="234"/>
      <c r="Z182" s="220"/>
      <c r="AA182" s="218"/>
      <c r="AB182" s="225"/>
      <c r="AC182" s="218"/>
      <c r="AD182" s="218"/>
      <c r="AE182" s="225"/>
      <c r="AF182" s="249"/>
      <c r="AG182" s="249"/>
      <c r="AH182" s="249"/>
      <c r="AI182" s="249"/>
      <c r="AJ182" s="249"/>
      <c r="AK182" s="249"/>
    </row>
    <row r="183" spans="2:38" x14ac:dyDescent="0.2">
      <c r="B183" s="214" t="s">
        <v>390</v>
      </c>
      <c r="C183" s="214" t="s">
        <v>401</v>
      </c>
      <c r="D183" s="232" t="s">
        <v>408</v>
      </c>
      <c r="E183" s="216" t="s">
        <v>199</v>
      </c>
      <c r="F183" s="216" t="s">
        <v>403</v>
      </c>
      <c r="G183" s="248">
        <v>0.73211619679999995</v>
      </c>
      <c r="H183" s="242">
        <v>1030512</v>
      </c>
      <c r="I183" s="220"/>
      <c r="J183" s="234"/>
      <c r="K183" s="218"/>
      <c r="L183" s="218"/>
      <c r="M183" s="234"/>
      <c r="N183" s="234"/>
      <c r="O183" s="225"/>
      <c r="P183" s="234"/>
      <c r="Q183" s="234"/>
      <c r="R183" s="234"/>
      <c r="S183" s="234"/>
      <c r="T183" s="234"/>
      <c r="U183" s="234"/>
      <c r="V183" s="220"/>
      <c r="W183" s="218"/>
      <c r="X183" s="218"/>
      <c r="Y183" s="234"/>
      <c r="Z183" s="220"/>
      <c r="AA183" s="218"/>
      <c r="AB183" s="234"/>
      <c r="AC183" s="218"/>
      <c r="AD183" s="218"/>
      <c r="AE183" s="225"/>
      <c r="AF183" s="249"/>
      <c r="AG183" s="249"/>
      <c r="AH183" s="249"/>
      <c r="AI183" s="249"/>
      <c r="AJ183" s="249"/>
      <c r="AK183" s="249"/>
    </row>
    <row r="184" spans="2:38" x14ac:dyDescent="0.2">
      <c r="B184" s="214" t="s">
        <v>409</v>
      </c>
      <c r="C184" s="214" t="s">
        <v>410</v>
      </c>
      <c r="D184" s="232" t="s">
        <v>411</v>
      </c>
      <c r="E184" s="216" t="s">
        <v>66</v>
      </c>
      <c r="F184" s="216" t="s">
        <v>412</v>
      </c>
      <c r="G184" s="248">
        <v>0.49019608749999999</v>
      </c>
      <c r="H184" s="242">
        <v>2697504</v>
      </c>
      <c r="I184" s="220"/>
      <c r="J184" s="225"/>
      <c r="K184" s="218"/>
      <c r="L184" s="218"/>
      <c r="M184" s="234"/>
      <c r="N184" s="225"/>
      <c r="O184" s="225"/>
      <c r="P184" s="234"/>
      <c r="Q184" s="234"/>
      <c r="R184" s="234"/>
      <c r="S184" s="234"/>
      <c r="T184" s="234"/>
      <c r="U184" s="234"/>
      <c r="V184" s="218"/>
      <c r="W184" s="218"/>
      <c r="X184" s="218"/>
      <c r="Y184" s="234"/>
      <c r="Z184" s="218"/>
      <c r="AA184" s="218"/>
      <c r="AB184" s="234"/>
      <c r="AC184" s="218"/>
      <c r="AD184" s="218"/>
      <c r="AE184" s="225"/>
      <c r="AF184" s="249"/>
      <c r="AG184" s="249"/>
      <c r="AH184" s="249"/>
      <c r="AI184" s="249"/>
      <c r="AJ184" s="249"/>
      <c r="AK184" s="249"/>
    </row>
    <row r="185" spans="2:38" x14ac:dyDescent="0.2">
      <c r="B185" s="214" t="s">
        <v>409</v>
      </c>
      <c r="C185" s="214" t="s">
        <v>413</v>
      </c>
      <c r="D185" s="232" t="s">
        <v>414</v>
      </c>
      <c r="E185" s="216" t="s">
        <v>71</v>
      </c>
      <c r="F185" s="216" t="s">
        <v>415</v>
      </c>
      <c r="G185" s="270">
        <v>0.44995136270000002</v>
      </c>
      <c r="H185" s="242">
        <f>95930+95043</f>
        <v>190973</v>
      </c>
      <c r="I185" s="220"/>
      <c r="J185" s="234"/>
      <c r="K185" s="218"/>
      <c r="L185" s="218"/>
      <c r="M185" s="234"/>
      <c r="N185" s="234"/>
      <c r="O185" s="225"/>
      <c r="P185" s="234"/>
      <c r="Q185" s="234"/>
      <c r="R185" s="234"/>
      <c r="S185" s="234"/>
      <c r="T185" s="234"/>
      <c r="U185" s="234"/>
      <c r="V185" s="220"/>
      <c r="W185" s="218"/>
      <c r="X185" s="218"/>
      <c r="Y185" s="234"/>
      <c r="Z185" s="218"/>
      <c r="AA185" s="218"/>
      <c r="AB185" s="234"/>
      <c r="AC185" s="218"/>
      <c r="AD185" s="218"/>
      <c r="AE185" s="225"/>
      <c r="AF185" s="249"/>
      <c r="AG185" s="249"/>
      <c r="AH185" s="249"/>
      <c r="AI185" s="249"/>
      <c r="AJ185" s="249"/>
      <c r="AK185" s="249"/>
    </row>
    <row r="186" spans="2:38" x14ac:dyDescent="0.2">
      <c r="B186" s="214" t="s">
        <v>409</v>
      </c>
      <c r="C186" s="214" t="s">
        <v>416</v>
      </c>
      <c r="D186" s="232" t="s">
        <v>417</v>
      </c>
      <c r="E186" s="216" t="s">
        <v>552</v>
      </c>
      <c r="F186" s="216" t="s">
        <v>251</v>
      </c>
      <c r="G186" s="270">
        <v>1</v>
      </c>
      <c r="H186" s="242">
        <v>3406504</v>
      </c>
      <c r="I186" s="220"/>
      <c r="J186" s="234"/>
      <c r="K186" s="218"/>
      <c r="L186" s="218"/>
      <c r="M186" s="234"/>
      <c r="N186" s="225"/>
      <c r="O186" s="225"/>
      <c r="P186" s="234"/>
      <c r="Q186" s="234"/>
      <c r="R186" s="225">
        <f>'Data in Local Currency'!G186*'Data in Local Currency'!R186</f>
        <v>0</v>
      </c>
      <c r="S186" s="225">
        <f>'Data in Local Currency'!S186*'Data in Local Currency'!G186</f>
        <v>0</v>
      </c>
      <c r="T186" s="225">
        <f>'Data in Local Currency'!T186*'Data in Local Currency'!G186</f>
        <v>0</v>
      </c>
      <c r="U186" s="234"/>
      <c r="V186" s="218"/>
      <c r="W186" s="218"/>
      <c r="X186" s="218"/>
      <c r="Y186" s="234"/>
      <c r="Z186" s="220"/>
      <c r="AA186" s="218"/>
      <c r="AB186" s="225"/>
      <c r="AC186" s="218"/>
      <c r="AD186" s="218"/>
      <c r="AE186" s="234"/>
      <c r="AF186" s="249"/>
      <c r="AG186" s="249"/>
      <c r="AH186" s="249"/>
      <c r="AI186" s="249"/>
      <c r="AJ186" s="249"/>
      <c r="AK186" s="249"/>
    </row>
    <row r="187" spans="2:38" x14ac:dyDescent="0.2">
      <c r="B187" s="214" t="s">
        <v>409</v>
      </c>
      <c r="C187" s="214" t="s">
        <v>419</v>
      </c>
      <c r="D187" s="232" t="s">
        <v>420</v>
      </c>
      <c r="E187" s="216" t="s">
        <v>162</v>
      </c>
      <c r="F187" s="216" t="s">
        <v>251</v>
      </c>
      <c r="G187" s="270">
        <v>1</v>
      </c>
      <c r="H187" s="242">
        <f>605952*2</f>
        <v>1211904</v>
      </c>
      <c r="I187" s="220"/>
      <c r="J187" s="234"/>
      <c r="K187" s="218"/>
      <c r="L187" s="218"/>
      <c r="M187" s="234"/>
      <c r="N187" s="234"/>
      <c r="O187" s="225"/>
      <c r="P187" s="234"/>
      <c r="Q187" s="234"/>
      <c r="R187" s="234"/>
      <c r="S187" s="234"/>
      <c r="T187" s="234"/>
      <c r="U187" s="234"/>
      <c r="V187" s="220"/>
      <c r="W187" s="220"/>
      <c r="X187" s="220"/>
      <c r="Y187" s="234"/>
      <c r="Z187" s="220"/>
      <c r="AA187" s="218"/>
      <c r="AB187" s="234"/>
      <c r="AC187" s="220"/>
      <c r="AD187" s="220"/>
      <c r="AE187" s="234"/>
      <c r="AF187" s="250"/>
      <c r="AG187" s="250"/>
      <c r="AH187" s="250"/>
      <c r="AI187" s="250"/>
      <c r="AJ187" s="250"/>
      <c r="AK187" s="250"/>
    </row>
    <row r="188" spans="2:38" x14ac:dyDescent="0.2">
      <c r="B188" s="214" t="s">
        <v>409</v>
      </c>
      <c r="C188" s="214" t="s">
        <v>421</v>
      </c>
      <c r="D188" s="232" t="s">
        <v>422</v>
      </c>
      <c r="E188" s="216" t="s">
        <v>96</v>
      </c>
      <c r="F188" s="216" t="s">
        <v>924</v>
      </c>
      <c r="G188" s="270">
        <v>0.39500000000000002</v>
      </c>
      <c r="H188" s="242">
        <v>327564</v>
      </c>
      <c r="I188" s="220"/>
      <c r="J188" s="225"/>
      <c r="K188" s="218"/>
      <c r="L188" s="218"/>
      <c r="M188" s="225"/>
      <c r="N188" s="225"/>
      <c r="O188" s="225"/>
      <c r="P188" s="234"/>
      <c r="Q188" s="234"/>
      <c r="R188" s="234"/>
      <c r="S188" s="234"/>
      <c r="T188" s="234"/>
      <c r="U188" s="225"/>
      <c r="V188" s="218"/>
      <c r="W188" s="218"/>
      <c r="X188" s="218"/>
      <c r="Y188" s="234"/>
      <c r="Z188" s="218"/>
      <c r="AA188" s="218"/>
      <c r="AB188" s="225"/>
      <c r="AC188" s="218"/>
      <c r="AD188" s="218"/>
      <c r="AE188" s="225"/>
      <c r="AF188" s="249"/>
      <c r="AG188" s="249"/>
      <c r="AH188" s="249"/>
      <c r="AI188" s="249"/>
      <c r="AJ188" s="249"/>
      <c r="AK188" s="249"/>
    </row>
    <row r="189" spans="2:38" x14ac:dyDescent="0.2">
      <c r="B189" s="214" t="s">
        <v>409</v>
      </c>
      <c r="C189" s="214" t="s">
        <v>423</v>
      </c>
      <c r="D189" s="232" t="s">
        <v>424</v>
      </c>
      <c r="E189" s="216" t="s">
        <v>83</v>
      </c>
      <c r="F189" s="216" t="s">
        <v>425</v>
      </c>
      <c r="G189" s="248">
        <v>1.00548393E-2</v>
      </c>
      <c r="H189" s="242">
        <v>1903469</v>
      </c>
      <c r="I189" s="220"/>
      <c r="J189" s="225"/>
      <c r="K189" s="218"/>
      <c r="L189" s="218"/>
      <c r="M189" s="225"/>
      <c r="N189" s="225"/>
      <c r="O189" s="225"/>
      <c r="P189" s="234"/>
      <c r="Q189" s="234"/>
      <c r="R189" s="234"/>
      <c r="S189" s="234"/>
      <c r="T189" s="225">
        <f>'Data in Local Currency'!T189*'Data in Local Currency'!G189</f>
        <v>0</v>
      </c>
      <c r="U189" s="234"/>
      <c r="V189" s="218"/>
      <c r="W189" s="218"/>
      <c r="X189" s="220"/>
      <c r="Y189" s="234"/>
      <c r="Z189" s="220"/>
      <c r="AA189" s="218"/>
      <c r="AB189" s="234"/>
      <c r="AC189" s="220"/>
      <c r="AD189" s="218"/>
      <c r="AE189" s="225"/>
      <c r="AF189" s="250"/>
      <c r="AG189" s="250"/>
      <c r="AH189" s="250"/>
      <c r="AI189" s="250"/>
      <c r="AJ189" s="250"/>
      <c r="AK189" s="250"/>
      <c r="AL189" s="171"/>
    </row>
    <row r="190" spans="2:38" x14ac:dyDescent="0.2">
      <c r="B190" s="214" t="s">
        <v>409</v>
      </c>
      <c r="C190" s="214" t="s">
        <v>426</v>
      </c>
      <c r="D190" s="232" t="s">
        <v>427</v>
      </c>
      <c r="E190" s="216" t="s">
        <v>418</v>
      </c>
      <c r="F190" s="216" t="s">
        <v>251</v>
      </c>
      <c r="G190" s="270">
        <v>1</v>
      </c>
      <c r="H190" s="242">
        <f>736970*2</f>
        <v>1473940</v>
      </c>
      <c r="I190" s="220"/>
      <c r="J190" s="225"/>
      <c r="K190" s="218"/>
      <c r="L190" s="218"/>
      <c r="M190" s="234"/>
      <c r="N190" s="225"/>
      <c r="O190" s="225"/>
      <c r="P190" s="234"/>
      <c r="Q190" s="234"/>
      <c r="R190" s="225">
        <f>'Data in Local Currency'!G190*'Data in Local Currency'!R190</f>
        <v>0</v>
      </c>
      <c r="S190" s="225">
        <f>'Data in Local Currency'!S190*'Data in Local Currency'!G190</f>
        <v>0</v>
      </c>
      <c r="T190" s="225">
        <f>'Data in Local Currency'!T190*'Data in Local Currency'!G190</f>
        <v>0</v>
      </c>
      <c r="U190" s="234"/>
      <c r="V190" s="218"/>
      <c r="W190" s="218"/>
      <c r="X190" s="220"/>
      <c r="Y190" s="234"/>
      <c r="Z190" s="218"/>
      <c r="AA190" s="218"/>
      <c r="AB190" s="225"/>
      <c r="AC190" s="220"/>
      <c r="AD190" s="218"/>
      <c r="AE190" s="234"/>
      <c r="AF190" s="250"/>
      <c r="AG190" s="250"/>
      <c r="AH190" s="250"/>
      <c r="AI190" s="250"/>
      <c r="AJ190" s="250"/>
      <c r="AK190" s="250"/>
    </row>
    <row r="191" spans="2:38" ht="17.25" customHeight="1" x14ac:dyDescent="0.2">
      <c r="B191" s="214" t="s">
        <v>409</v>
      </c>
      <c r="C191" s="214" t="s">
        <v>428</v>
      </c>
      <c r="D191" s="244" t="s">
        <v>429</v>
      </c>
      <c r="E191" s="216" t="s">
        <v>418</v>
      </c>
      <c r="F191" s="216" t="s">
        <v>251</v>
      </c>
      <c r="G191" s="270">
        <v>1</v>
      </c>
      <c r="H191" s="242">
        <f>70393*2</f>
        <v>140786</v>
      </c>
      <c r="I191" s="220"/>
      <c r="J191" s="225"/>
      <c r="K191" s="218"/>
      <c r="L191" s="218"/>
      <c r="M191" s="234"/>
      <c r="N191" s="225"/>
      <c r="O191" s="225"/>
      <c r="P191" s="234"/>
      <c r="Q191" s="234"/>
      <c r="R191" s="225">
        <f>'Data in Local Currency'!G191*'Data in Local Currency'!R191</f>
        <v>0</v>
      </c>
      <c r="S191" s="225">
        <f>'Data in Local Currency'!S191*'Data in Local Currency'!G191</f>
        <v>0</v>
      </c>
      <c r="T191" s="225">
        <f>'Data in Local Currency'!T191*'Data in Local Currency'!G191</f>
        <v>0</v>
      </c>
      <c r="U191" s="234"/>
      <c r="V191" s="218"/>
      <c r="W191" s="218"/>
      <c r="X191" s="220"/>
      <c r="Y191" s="234"/>
      <c r="Z191" s="220"/>
      <c r="AA191" s="220"/>
      <c r="AB191" s="225"/>
      <c r="AC191" s="220"/>
      <c r="AD191" s="218"/>
      <c r="AE191" s="234"/>
      <c r="AF191" s="250"/>
      <c r="AG191" s="250"/>
      <c r="AH191" s="250"/>
      <c r="AI191" s="250"/>
      <c r="AJ191" s="250"/>
      <c r="AK191" s="250"/>
    </row>
    <row r="192" spans="2:38" ht="17.25" customHeight="1" x14ac:dyDescent="0.2">
      <c r="B192" s="214" t="s">
        <v>409</v>
      </c>
      <c r="C192" s="214" t="s">
        <v>430</v>
      </c>
      <c r="D192" s="232" t="s">
        <v>568</v>
      </c>
      <c r="E192" s="216" t="s">
        <v>199</v>
      </c>
      <c r="F192" s="216" t="s">
        <v>251</v>
      </c>
      <c r="G192" s="270">
        <v>1</v>
      </c>
      <c r="H192" s="242">
        <v>37557406</v>
      </c>
      <c r="I192" s="218"/>
      <c r="J192" s="225"/>
      <c r="K192" s="218"/>
      <c r="L192" s="218"/>
      <c r="M192" s="234"/>
      <c r="N192" s="234"/>
      <c r="O192" s="225"/>
      <c r="P192" s="225"/>
      <c r="Q192" s="234"/>
      <c r="R192" s="225">
        <f>'Data in Local Currency'!G192*'Data in Local Currency'!R192</f>
        <v>0</v>
      </c>
      <c r="S192" s="225">
        <f>'Data in Local Currency'!S192*'Data in Local Currency'!G192</f>
        <v>0</v>
      </c>
      <c r="T192" s="225">
        <f>'Data in Local Currency'!T192*'Data in Local Currency'!G192</f>
        <v>0</v>
      </c>
      <c r="U192" s="234"/>
      <c r="V192" s="218"/>
      <c r="W192" s="218"/>
      <c r="X192" s="218"/>
      <c r="Y192" s="234"/>
      <c r="Z192" s="218"/>
      <c r="AA192" s="218"/>
      <c r="AB192" s="234"/>
      <c r="AC192" s="218"/>
      <c r="AD192" s="218"/>
      <c r="AE192" s="234"/>
      <c r="AF192" s="249"/>
      <c r="AG192" s="249"/>
      <c r="AH192" s="249"/>
      <c r="AI192" s="249"/>
      <c r="AJ192" s="249"/>
      <c r="AK192" s="249"/>
    </row>
    <row r="193" spans="2:38" ht="14.25" customHeight="1" x14ac:dyDescent="0.2">
      <c r="B193" s="214" t="s">
        <v>409</v>
      </c>
      <c r="C193" s="214" t="s">
        <v>430</v>
      </c>
      <c r="D193" s="232" t="s">
        <v>431</v>
      </c>
      <c r="E193" s="216" t="s">
        <v>199</v>
      </c>
      <c r="F193" s="216" t="s">
        <v>251</v>
      </c>
      <c r="G193" s="270">
        <v>1</v>
      </c>
      <c r="H193" s="265">
        <f>10655473*2</f>
        <v>21310946</v>
      </c>
      <c r="I193" s="266"/>
      <c r="J193" s="234"/>
      <c r="K193" s="218"/>
      <c r="L193" s="218"/>
      <c r="M193" s="234"/>
      <c r="N193" s="225"/>
      <c r="O193" s="225"/>
      <c r="P193" s="254"/>
      <c r="Q193" s="234"/>
      <c r="R193" s="225">
        <f>'Data in Local Currency'!G193*'Data in Local Currency'!R193</f>
        <v>0</v>
      </c>
      <c r="S193" s="225">
        <f>'Data in Local Currency'!S193*'Data in Local Currency'!G193</f>
        <v>0</v>
      </c>
      <c r="T193" s="234"/>
      <c r="U193" s="234"/>
      <c r="V193" s="218"/>
      <c r="W193" s="218"/>
      <c r="X193" s="218"/>
      <c r="Y193" s="234"/>
      <c r="Z193" s="218"/>
      <c r="AA193" s="218"/>
      <c r="AB193" s="262"/>
      <c r="AC193" s="218"/>
      <c r="AD193" s="218"/>
      <c r="AE193" s="234"/>
      <c r="AF193" s="250"/>
      <c r="AG193" s="250"/>
      <c r="AH193" s="250"/>
      <c r="AI193" s="250"/>
      <c r="AJ193" s="250"/>
      <c r="AK193" s="250"/>
    </row>
    <row r="194" spans="2:38" ht="14.25" customHeight="1" x14ac:dyDescent="0.2">
      <c r="B194" s="214" t="s">
        <v>409</v>
      </c>
      <c r="C194" s="214" t="s">
        <v>430</v>
      </c>
      <c r="D194" s="232" t="s">
        <v>432</v>
      </c>
      <c r="E194" s="216" t="s">
        <v>199</v>
      </c>
      <c r="F194" s="216" t="s">
        <v>251</v>
      </c>
      <c r="G194" s="270">
        <v>1</v>
      </c>
      <c r="H194" s="265">
        <f>3653790*2</f>
        <v>7307580</v>
      </c>
      <c r="I194" s="266"/>
      <c r="J194" s="234"/>
      <c r="K194" s="218"/>
      <c r="L194" s="218"/>
      <c r="M194" s="234"/>
      <c r="N194" s="234"/>
      <c r="O194" s="225"/>
      <c r="P194" s="254"/>
      <c r="Q194" s="234"/>
      <c r="R194" s="225">
        <f>'Data in Local Currency'!G194*'Data in Local Currency'!R194</f>
        <v>0</v>
      </c>
      <c r="S194" s="225">
        <f>'Data in Local Currency'!S194*'Data in Local Currency'!G194</f>
        <v>0</v>
      </c>
      <c r="T194" s="234"/>
      <c r="U194" s="234"/>
      <c r="V194" s="218"/>
      <c r="W194" s="218"/>
      <c r="X194" s="218"/>
      <c r="Y194" s="234"/>
      <c r="Z194" s="218"/>
      <c r="AA194" s="218"/>
      <c r="AB194" s="254"/>
      <c r="AC194" s="218"/>
      <c r="AD194" s="218"/>
      <c r="AE194" s="234"/>
      <c r="AF194" s="250"/>
      <c r="AG194" s="250"/>
      <c r="AH194" s="250"/>
      <c r="AI194" s="250"/>
      <c r="AJ194" s="250"/>
      <c r="AK194" s="250"/>
    </row>
    <row r="195" spans="2:38" x14ac:dyDescent="0.2">
      <c r="B195" s="214" t="s">
        <v>433</v>
      </c>
      <c r="C195" s="214" t="s">
        <v>434</v>
      </c>
      <c r="D195" s="232" t="s">
        <v>435</v>
      </c>
      <c r="E195" s="216" t="s">
        <v>83</v>
      </c>
      <c r="F195" s="216" t="s">
        <v>251</v>
      </c>
      <c r="G195" s="270">
        <v>1</v>
      </c>
      <c r="H195" s="242">
        <v>3300000</v>
      </c>
      <c r="I195" s="220"/>
      <c r="J195" s="225"/>
      <c r="K195" s="218"/>
      <c r="L195" s="218"/>
      <c r="M195" s="225"/>
      <c r="N195" s="225"/>
      <c r="O195" s="225"/>
      <c r="P195" s="234"/>
      <c r="Q195" s="234"/>
      <c r="R195" s="234"/>
      <c r="S195" s="234"/>
      <c r="T195" s="234"/>
      <c r="U195" s="234"/>
      <c r="V195" s="218"/>
      <c r="W195" s="218"/>
      <c r="X195" s="218"/>
      <c r="Y195" s="234"/>
      <c r="Z195" s="218"/>
      <c r="AA195" s="218"/>
      <c r="AB195" s="234"/>
      <c r="AC195" s="218"/>
      <c r="AD195" s="218"/>
      <c r="AE195" s="225"/>
      <c r="AF195" s="249"/>
      <c r="AG195" s="249"/>
      <c r="AH195" s="249"/>
      <c r="AI195" s="249"/>
      <c r="AJ195" s="249"/>
      <c r="AK195" s="249"/>
    </row>
    <row r="196" spans="2:38" x14ac:dyDescent="0.2">
      <c r="B196" s="214" t="s">
        <v>433</v>
      </c>
      <c r="C196" s="214" t="s">
        <v>436</v>
      </c>
      <c r="D196" s="232" t="s">
        <v>437</v>
      </c>
      <c r="E196" s="216" t="s">
        <v>527</v>
      </c>
      <c r="F196" s="216" t="s">
        <v>110</v>
      </c>
      <c r="G196" s="248">
        <v>1.145548</v>
      </c>
      <c r="H196" s="265">
        <v>5000000</v>
      </c>
      <c r="I196" s="266"/>
      <c r="J196" s="234"/>
      <c r="K196" s="218"/>
      <c r="L196" s="220"/>
      <c r="M196" s="234"/>
      <c r="N196" s="234"/>
      <c r="O196" s="234"/>
      <c r="P196" s="234"/>
      <c r="Q196" s="234"/>
      <c r="R196" s="234"/>
      <c r="S196" s="234"/>
      <c r="T196" s="234"/>
      <c r="U196" s="234"/>
      <c r="V196" s="220"/>
      <c r="W196" s="220"/>
      <c r="X196" s="220"/>
      <c r="Y196" s="234"/>
      <c r="Z196" s="220"/>
      <c r="AA196" s="220"/>
      <c r="AB196" s="234"/>
      <c r="AC196" s="220"/>
      <c r="AD196" s="220"/>
      <c r="AE196" s="234"/>
      <c r="AF196" s="250"/>
      <c r="AG196" s="250"/>
      <c r="AH196" s="250"/>
      <c r="AI196" s="250"/>
      <c r="AJ196" s="250"/>
      <c r="AK196" s="250"/>
    </row>
    <row r="197" spans="2:38" x14ac:dyDescent="0.2">
      <c r="B197" s="214" t="s">
        <v>433</v>
      </c>
      <c r="C197" s="214" t="s">
        <v>438</v>
      </c>
      <c r="D197" s="232" t="s">
        <v>439</v>
      </c>
      <c r="E197" s="216" t="s">
        <v>91</v>
      </c>
      <c r="F197" s="216" t="s">
        <v>251</v>
      </c>
      <c r="G197" s="270">
        <v>1</v>
      </c>
      <c r="H197" s="242">
        <v>1586362</v>
      </c>
      <c r="I197" s="220"/>
      <c r="J197" s="225"/>
      <c r="K197" s="218"/>
      <c r="L197" s="218"/>
      <c r="M197" s="225"/>
      <c r="N197" s="225"/>
      <c r="O197" s="225"/>
      <c r="P197" s="234"/>
      <c r="Q197" s="234"/>
      <c r="R197" s="234"/>
      <c r="S197" s="234"/>
      <c r="T197" s="234"/>
      <c r="U197" s="225"/>
      <c r="V197" s="218"/>
      <c r="W197" s="218"/>
      <c r="X197" s="218"/>
      <c r="Y197" s="234"/>
      <c r="Z197" s="218"/>
      <c r="AA197" s="218"/>
      <c r="AB197" s="225"/>
      <c r="AC197" s="218"/>
      <c r="AD197" s="218"/>
      <c r="AE197" s="225"/>
      <c r="AF197" s="249"/>
      <c r="AG197" s="249"/>
      <c r="AH197" s="249"/>
      <c r="AI197" s="249"/>
      <c r="AJ197" s="249"/>
      <c r="AK197" s="249"/>
    </row>
    <row r="198" spans="2:38" x14ac:dyDescent="0.2">
      <c r="B198" s="214" t="s">
        <v>433</v>
      </c>
      <c r="C198" s="214" t="s">
        <v>438</v>
      </c>
      <c r="D198" s="232" t="s">
        <v>440</v>
      </c>
      <c r="E198" s="216" t="s">
        <v>83</v>
      </c>
      <c r="F198" s="216" t="s">
        <v>251</v>
      </c>
      <c r="G198" s="270">
        <v>1</v>
      </c>
      <c r="H198" s="242">
        <v>4226000</v>
      </c>
      <c r="I198" s="218"/>
      <c r="J198" s="234"/>
      <c r="K198" s="218"/>
      <c r="L198" s="218"/>
      <c r="M198" s="234"/>
      <c r="N198" s="234"/>
      <c r="O198" s="225"/>
      <c r="P198" s="225"/>
      <c r="Q198" s="234"/>
      <c r="R198" s="234"/>
      <c r="S198" s="225">
        <f>'Data in Local Currency'!S198*'Data in Local Currency'!G198</f>
        <v>0</v>
      </c>
      <c r="T198" s="254"/>
      <c r="U198" s="234"/>
      <c r="V198" s="220"/>
      <c r="W198" s="218"/>
      <c r="X198" s="220"/>
      <c r="Y198" s="234"/>
      <c r="Z198" s="220"/>
      <c r="AA198" s="220"/>
      <c r="AB198" s="225"/>
      <c r="AC198" s="220"/>
      <c r="AD198" s="218"/>
      <c r="AE198" s="234"/>
      <c r="AF198" s="250"/>
      <c r="AG198" s="250"/>
      <c r="AH198" s="250"/>
      <c r="AI198" s="250"/>
      <c r="AJ198" s="250"/>
      <c r="AK198" s="250"/>
    </row>
    <row r="199" spans="2:38" x14ac:dyDescent="0.2">
      <c r="B199" s="214" t="s">
        <v>433</v>
      </c>
      <c r="C199" s="214" t="s">
        <v>441</v>
      </c>
      <c r="D199" s="232" t="s">
        <v>442</v>
      </c>
      <c r="E199" s="216" t="s">
        <v>552</v>
      </c>
      <c r="F199" s="216" t="s">
        <v>251</v>
      </c>
      <c r="G199" s="270">
        <v>1</v>
      </c>
      <c r="H199" s="265">
        <f>356000*2</f>
        <v>712000</v>
      </c>
      <c r="I199" s="220"/>
      <c r="J199" s="218"/>
      <c r="K199" s="218"/>
      <c r="L199" s="218"/>
      <c r="M199" s="234"/>
      <c r="N199" s="234"/>
      <c r="O199" s="225"/>
      <c r="P199" s="234"/>
      <c r="Q199" s="234"/>
      <c r="R199" s="225">
        <f>'Data in Local Currency'!G199*'Data in Local Currency'!R199</f>
        <v>0</v>
      </c>
      <c r="S199" s="225">
        <f>'Data in Local Currency'!S199*'Data in Local Currency'!G199</f>
        <v>0</v>
      </c>
      <c r="T199" s="225">
        <f>'Data in Local Currency'!T199*'Data in Local Currency'!G199</f>
        <v>0</v>
      </c>
      <c r="U199" s="234"/>
      <c r="V199" s="218"/>
      <c r="W199" s="218"/>
      <c r="X199" s="218"/>
      <c r="Y199" s="234"/>
      <c r="Z199" s="218"/>
      <c r="AA199" s="218"/>
      <c r="AB199" s="234"/>
      <c r="AC199" s="218"/>
      <c r="AD199" s="218"/>
      <c r="AE199" s="234"/>
      <c r="AF199" s="250"/>
      <c r="AG199" s="250"/>
      <c r="AH199" s="250"/>
      <c r="AI199" s="250"/>
      <c r="AJ199" s="250"/>
      <c r="AK199" s="250"/>
    </row>
    <row r="200" spans="2:38" x14ac:dyDescent="0.2">
      <c r="B200" s="214" t="s">
        <v>433</v>
      </c>
      <c r="C200" s="214" t="s">
        <v>443</v>
      </c>
      <c r="D200" s="232" t="s">
        <v>562</v>
      </c>
      <c r="E200" s="216" t="s">
        <v>527</v>
      </c>
      <c r="F200" s="216" t="s">
        <v>251</v>
      </c>
      <c r="G200" s="270">
        <v>1</v>
      </c>
      <c r="H200" s="242">
        <f>4135263*2</f>
        <v>8270526</v>
      </c>
      <c r="I200" s="220"/>
      <c r="J200" s="225"/>
      <c r="K200" s="218"/>
      <c r="L200" s="218"/>
      <c r="M200" s="234"/>
      <c r="N200" s="225"/>
      <c r="O200" s="225"/>
      <c r="P200" s="234"/>
      <c r="Q200" s="234"/>
      <c r="R200" s="225">
        <f>'Data in Local Currency'!G200*'Data in Local Currency'!R200</f>
        <v>0</v>
      </c>
      <c r="S200" s="225">
        <f>'Data in Local Currency'!S200*'Data in Local Currency'!G200</f>
        <v>0</v>
      </c>
      <c r="T200" s="225">
        <f>'Data in Local Currency'!T200*'Data in Local Currency'!G200</f>
        <v>0</v>
      </c>
      <c r="U200" s="234"/>
      <c r="V200" s="218"/>
      <c r="W200" s="218"/>
      <c r="X200" s="218"/>
      <c r="Y200" s="234"/>
      <c r="Z200" s="218"/>
      <c r="AA200" s="218"/>
      <c r="AB200" s="225"/>
      <c r="AC200" s="218"/>
      <c r="AD200" s="218"/>
      <c r="AE200" s="234"/>
      <c r="AF200" s="250"/>
      <c r="AG200" s="250"/>
      <c r="AH200" s="250"/>
      <c r="AI200" s="250"/>
      <c r="AJ200" s="250"/>
      <c r="AK200" s="250"/>
    </row>
    <row r="201" spans="2:38" ht="17.25" customHeight="1" x14ac:dyDescent="0.2">
      <c r="B201" s="214" t="s">
        <v>444</v>
      </c>
      <c r="C201" s="214" t="s">
        <v>445</v>
      </c>
      <c r="D201" s="232" t="s">
        <v>446</v>
      </c>
      <c r="E201" s="216" t="s">
        <v>66</v>
      </c>
      <c r="F201" s="216" t="s">
        <v>251</v>
      </c>
      <c r="G201" s="270">
        <v>1</v>
      </c>
      <c r="H201" s="242">
        <v>2900000</v>
      </c>
      <c r="I201" s="220"/>
      <c r="J201" s="234"/>
      <c r="K201" s="218"/>
      <c r="L201" s="218"/>
      <c r="M201" s="234"/>
      <c r="N201" s="225"/>
      <c r="O201" s="225"/>
      <c r="P201" s="234"/>
      <c r="Q201" s="234"/>
      <c r="R201" s="234"/>
      <c r="S201" s="234"/>
      <c r="T201" s="234"/>
      <c r="U201" s="234"/>
      <c r="V201" s="220"/>
      <c r="W201" s="220"/>
      <c r="X201" s="220"/>
      <c r="Y201" s="234"/>
      <c r="Z201" s="220"/>
      <c r="AA201" s="220"/>
      <c r="AB201" s="234"/>
      <c r="AC201" s="220"/>
      <c r="AD201" s="220"/>
      <c r="AE201" s="234"/>
      <c r="AF201" s="250"/>
      <c r="AG201" s="250"/>
      <c r="AH201" s="250"/>
      <c r="AI201" s="250"/>
      <c r="AJ201" s="250"/>
      <c r="AK201" s="250"/>
    </row>
    <row r="202" spans="2:38" x14ac:dyDescent="0.2">
      <c r="B202" s="214" t="s">
        <v>444</v>
      </c>
      <c r="C202" s="214" t="s">
        <v>447</v>
      </c>
      <c r="D202" s="232" t="s">
        <v>448</v>
      </c>
      <c r="E202" s="216" t="s">
        <v>83</v>
      </c>
      <c r="F202" s="216" t="s">
        <v>449</v>
      </c>
      <c r="G202" s="248">
        <v>1</v>
      </c>
      <c r="H202" s="242">
        <v>15600000</v>
      </c>
      <c r="I202" s="220"/>
      <c r="J202" s="225"/>
      <c r="K202" s="218"/>
      <c r="L202" s="218"/>
      <c r="M202" s="234"/>
      <c r="N202" s="234"/>
      <c r="O202" s="225"/>
      <c r="P202" s="234"/>
      <c r="Q202" s="234"/>
      <c r="R202" s="234"/>
      <c r="S202" s="234"/>
      <c r="T202" s="234"/>
      <c r="U202" s="234"/>
      <c r="V202" s="220"/>
      <c r="W202" s="218"/>
      <c r="X202" s="220"/>
      <c r="Y202" s="234"/>
      <c r="Z202" s="220"/>
      <c r="AA202" s="218"/>
      <c r="AB202" s="234"/>
      <c r="AC202" s="220"/>
      <c r="AD202" s="218"/>
      <c r="AE202" s="225"/>
      <c r="AF202" s="250"/>
      <c r="AG202" s="250"/>
      <c r="AH202" s="250"/>
      <c r="AI202" s="250"/>
      <c r="AJ202" s="250"/>
      <c r="AK202" s="250"/>
    </row>
    <row r="203" spans="2:38" x14ac:dyDescent="0.2">
      <c r="B203" s="214" t="s">
        <v>444</v>
      </c>
      <c r="C203" s="214" t="s">
        <v>450</v>
      </c>
      <c r="D203" s="246" t="s">
        <v>554</v>
      </c>
      <c r="E203" s="216" t="s">
        <v>527</v>
      </c>
      <c r="F203" s="216" t="s">
        <v>110</v>
      </c>
      <c r="G203" s="248">
        <v>1.145548</v>
      </c>
      <c r="H203" s="242">
        <v>22100000</v>
      </c>
      <c r="I203" s="220"/>
      <c r="J203" s="234"/>
      <c r="K203" s="218"/>
      <c r="L203" s="220"/>
      <c r="M203" s="234"/>
      <c r="N203" s="234"/>
      <c r="O203" s="234"/>
      <c r="P203" s="234"/>
      <c r="Q203" s="234"/>
      <c r="R203" s="225">
        <f>'Data in Local Currency'!G203*'Data in Local Currency'!R203</f>
        <v>0</v>
      </c>
      <c r="S203" s="225">
        <f>'Data in Local Currency'!S203*'Data in Local Currency'!G203</f>
        <v>0</v>
      </c>
      <c r="T203" s="225">
        <f>'Data in Local Currency'!T203*'Data in Local Currency'!G203</f>
        <v>0</v>
      </c>
      <c r="U203" s="234"/>
      <c r="V203" s="220"/>
      <c r="W203" s="220"/>
      <c r="X203" s="220"/>
      <c r="Y203" s="234"/>
      <c r="Z203" s="220"/>
      <c r="AA203" s="220"/>
      <c r="AB203" s="234"/>
      <c r="AC203" s="220"/>
      <c r="AD203" s="220"/>
      <c r="AE203" s="225"/>
      <c r="AF203" s="249"/>
      <c r="AG203" s="249"/>
      <c r="AH203" s="249"/>
      <c r="AI203" s="249"/>
      <c r="AJ203" s="249"/>
      <c r="AK203" s="249"/>
    </row>
    <row r="204" spans="2:38" x14ac:dyDescent="0.2">
      <c r="B204" s="214" t="s">
        <v>444</v>
      </c>
      <c r="C204" s="214" t="s">
        <v>450</v>
      </c>
      <c r="D204" s="232" t="s">
        <v>451</v>
      </c>
      <c r="E204" s="216" t="s">
        <v>83</v>
      </c>
      <c r="F204" s="216" t="s">
        <v>452</v>
      </c>
      <c r="G204" s="271">
        <v>0.30674271739999998</v>
      </c>
      <c r="H204" s="242">
        <v>30663545</v>
      </c>
      <c r="I204" s="220"/>
      <c r="J204" s="225"/>
      <c r="K204" s="218"/>
      <c r="L204" s="220"/>
      <c r="M204" s="234"/>
      <c r="N204" s="234"/>
      <c r="O204" s="234"/>
      <c r="P204" s="234"/>
      <c r="Q204" s="234"/>
      <c r="R204" s="234"/>
      <c r="S204" s="234"/>
      <c r="T204" s="234"/>
      <c r="U204" s="234"/>
      <c r="V204" s="220"/>
      <c r="W204" s="218"/>
      <c r="X204" s="220"/>
      <c r="Y204" s="234"/>
      <c r="Z204" s="220"/>
      <c r="AA204" s="220"/>
      <c r="AB204" s="225"/>
      <c r="AC204" s="220"/>
      <c r="AD204" s="220"/>
      <c r="AE204" s="225"/>
      <c r="AF204" s="249"/>
      <c r="AG204" s="250"/>
      <c r="AH204" s="250"/>
      <c r="AI204" s="250"/>
      <c r="AJ204" s="250"/>
      <c r="AK204" s="250"/>
    </row>
    <row r="205" spans="2:38" x14ac:dyDescent="0.2">
      <c r="B205" s="214" t="s">
        <v>444</v>
      </c>
      <c r="C205" s="214" t="s">
        <v>453</v>
      </c>
      <c r="D205" s="232" t="s">
        <v>454</v>
      </c>
      <c r="E205" s="216" t="s">
        <v>83</v>
      </c>
      <c r="F205" s="216" t="s">
        <v>455</v>
      </c>
      <c r="G205" s="248">
        <v>5.0666000000000003E-2</v>
      </c>
      <c r="H205" s="242">
        <v>47700547</v>
      </c>
      <c r="I205" s="220"/>
      <c r="J205" s="225"/>
      <c r="K205" s="218"/>
      <c r="L205" s="218"/>
      <c r="M205" s="234"/>
      <c r="N205" s="234"/>
      <c r="O205" s="225"/>
      <c r="P205" s="234"/>
      <c r="Q205" s="234"/>
      <c r="R205" s="234"/>
      <c r="S205" s="234"/>
      <c r="T205" s="234"/>
      <c r="U205" s="234"/>
      <c r="V205" s="220"/>
      <c r="W205" s="218"/>
      <c r="X205" s="220"/>
      <c r="Y205" s="234"/>
      <c r="Z205" s="220"/>
      <c r="AA205" s="218"/>
      <c r="AB205" s="234"/>
      <c r="AC205" s="220"/>
      <c r="AD205" s="218"/>
      <c r="AE205" s="225"/>
      <c r="AF205" s="249"/>
      <c r="AG205" s="249"/>
      <c r="AH205" s="249"/>
      <c r="AI205" s="249"/>
      <c r="AJ205" s="249"/>
      <c r="AK205" s="249"/>
    </row>
    <row r="206" spans="2:38" x14ac:dyDescent="0.2">
      <c r="B206" s="214" t="s">
        <v>444</v>
      </c>
      <c r="C206" s="214" t="s">
        <v>453</v>
      </c>
      <c r="D206" s="232" t="s">
        <v>456</v>
      </c>
      <c r="E206" s="216" t="s">
        <v>527</v>
      </c>
      <c r="F206" s="216" t="s">
        <v>251</v>
      </c>
      <c r="G206" s="248">
        <v>1</v>
      </c>
      <c r="H206" s="242">
        <v>52269000</v>
      </c>
      <c r="I206" s="218"/>
      <c r="J206" s="225"/>
      <c r="K206" s="218"/>
      <c r="L206" s="218"/>
      <c r="M206" s="234"/>
      <c r="N206" s="234"/>
      <c r="O206" s="225"/>
      <c r="P206" s="225"/>
      <c r="Q206" s="225">
        <f>'Data in Local Currency'!Q206*'Data in Local Currency'!G206</f>
        <v>0</v>
      </c>
      <c r="R206" s="225">
        <f>'Data in Local Currency'!G206*'Data in Local Currency'!R206</f>
        <v>0</v>
      </c>
      <c r="S206" s="225">
        <f>'Data in Local Currency'!S206*'Data in Local Currency'!G206</f>
        <v>0</v>
      </c>
      <c r="T206" s="225">
        <f>'Data in Local Currency'!T206*'Data in Local Currency'!G206</f>
        <v>0</v>
      </c>
      <c r="U206" s="225"/>
      <c r="V206" s="218"/>
      <c r="W206" s="218"/>
      <c r="X206" s="218"/>
      <c r="Y206" s="234"/>
      <c r="Z206" s="218"/>
      <c r="AA206" s="218"/>
      <c r="AB206" s="234"/>
      <c r="AC206" s="218"/>
      <c r="AD206" s="218"/>
      <c r="AE206" s="225"/>
      <c r="AF206" s="249"/>
      <c r="AG206" s="249"/>
      <c r="AH206" s="249"/>
      <c r="AI206" s="249"/>
      <c r="AJ206" s="249"/>
      <c r="AK206" s="249"/>
      <c r="AL206" s="171"/>
    </row>
    <row r="207" spans="2:38" x14ac:dyDescent="0.2">
      <c r="B207" s="214" t="s">
        <v>444</v>
      </c>
      <c r="C207" s="214" t="s">
        <v>453</v>
      </c>
      <c r="D207" s="247" t="s">
        <v>458</v>
      </c>
      <c r="E207" s="216" t="s">
        <v>533</v>
      </c>
      <c r="F207" s="216" t="s">
        <v>455</v>
      </c>
      <c r="G207" s="248">
        <v>5.0909999999999997E-2</v>
      </c>
      <c r="H207" s="242">
        <v>21681492</v>
      </c>
      <c r="I207" s="220"/>
      <c r="J207" s="225"/>
      <c r="K207" s="218"/>
      <c r="L207" s="218"/>
      <c r="M207" s="234"/>
      <c r="N207" s="234"/>
      <c r="O207" s="225"/>
      <c r="P207" s="234"/>
      <c r="Q207" s="234"/>
      <c r="R207" s="225">
        <f>'Data in Local Currency'!G207*'Data in Local Currency'!R207</f>
        <v>0</v>
      </c>
      <c r="S207" s="225">
        <f>'Data in Local Currency'!S207*'Data in Local Currency'!G207</f>
        <v>0</v>
      </c>
      <c r="T207" s="225">
        <f>'Data in Local Currency'!T207*'Data in Local Currency'!G207</f>
        <v>0</v>
      </c>
      <c r="U207" s="225"/>
      <c r="V207" s="218"/>
      <c r="W207" s="218"/>
      <c r="X207" s="218"/>
      <c r="Y207" s="234"/>
      <c r="Z207" s="218"/>
      <c r="AA207" s="218"/>
      <c r="AB207" s="234"/>
      <c r="AC207" s="218"/>
      <c r="AD207" s="218"/>
      <c r="AE207" s="225"/>
      <c r="AF207" s="249"/>
      <c r="AG207" s="249"/>
      <c r="AH207" s="249"/>
      <c r="AI207" s="249"/>
      <c r="AJ207" s="249"/>
      <c r="AK207" s="249"/>
      <c r="AL207" s="171"/>
    </row>
    <row r="208" spans="2:38" x14ac:dyDescent="0.2">
      <c r="B208" s="214" t="s">
        <v>444</v>
      </c>
      <c r="C208" s="214" t="s">
        <v>453</v>
      </c>
      <c r="D208" s="232" t="s">
        <v>460</v>
      </c>
      <c r="E208" s="216" t="s">
        <v>527</v>
      </c>
      <c r="F208" s="216" t="s">
        <v>455</v>
      </c>
      <c r="G208" s="248">
        <v>5.0909999999999997E-2</v>
      </c>
      <c r="H208" s="242">
        <v>44948000</v>
      </c>
      <c r="I208" s="218"/>
      <c r="J208" s="225"/>
      <c r="K208" s="218"/>
      <c r="L208" s="218"/>
      <c r="M208" s="234"/>
      <c r="N208" s="234"/>
      <c r="O208" s="225"/>
      <c r="P208" s="225"/>
      <c r="Q208" s="225">
        <f>'Data in Local Currency'!Q208*'Data in Local Currency'!G208</f>
        <v>0</v>
      </c>
      <c r="R208" s="225">
        <f>'Data in Local Currency'!G208*'Data in Local Currency'!R208</f>
        <v>0</v>
      </c>
      <c r="S208" s="225">
        <f>'Data in Local Currency'!S208*'Data in Local Currency'!G208</f>
        <v>0</v>
      </c>
      <c r="T208" s="225">
        <f>'Data in Local Currency'!T208*'Data in Local Currency'!G208</f>
        <v>0</v>
      </c>
      <c r="U208" s="225"/>
      <c r="V208" s="218"/>
      <c r="W208" s="218"/>
      <c r="X208" s="218"/>
      <c r="Y208" s="234"/>
      <c r="Z208" s="218"/>
      <c r="AA208" s="218"/>
      <c r="AB208" s="234"/>
      <c r="AC208" s="218"/>
      <c r="AD208" s="218"/>
      <c r="AE208" s="225"/>
      <c r="AF208" s="249"/>
      <c r="AG208" s="249"/>
      <c r="AH208" s="249"/>
      <c r="AI208" s="249"/>
      <c r="AJ208" s="249"/>
      <c r="AK208" s="249"/>
      <c r="AL208" s="171"/>
    </row>
    <row r="209" spans="2:38" x14ac:dyDescent="0.2">
      <c r="B209" s="214" t="s">
        <v>444</v>
      </c>
      <c r="C209" s="214" t="s">
        <v>461</v>
      </c>
      <c r="D209" s="232" t="s">
        <v>462</v>
      </c>
      <c r="E209" s="216" t="s">
        <v>527</v>
      </c>
      <c r="F209" s="216" t="s">
        <v>463</v>
      </c>
      <c r="G209" s="248">
        <v>2.6557999999999998E-2</v>
      </c>
      <c r="H209" s="242">
        <v>38350466</v>
      </c>
      <c r="I209" s="220"/>
      <c r="J209" s="225"/>
      <c r="K209" s="218"/>
      <c r="L209" s="218"/>
      <c r="M209" s="234"/>
      <c r="N209" s="234"/>
      <c r="O209" s="225"/>
      <c r="P209" s="234"/>
      <c r="Q209" s="234"/>
      <c r="R209" s="234"/>
      <c r="S209" s="234"/>
      <c r="T209" s="234"/>
      <c r="U209" s="234"/>
      <c r="V209" s="220"/>
      <c r="W209" s="218"/>
      <c r="X209" s="218"/>
      <c r="Y209" s="234"/>
      <c r="Z209" s="220"/>
      <c r="AA209" s="218"/>
      <c r="AB209" s="234"/>
      <c r="AC209" s="218"/>
      <c r="AD209" s="218"/>
      <c r="AE209" s="225"/>
      <c r="AF209" s="249"/>
      <c r="AG209" s="249"/>
      <c r="AH209" s="249"/>
      <c r="AI209" s="249"/>
      <c r="AJ209" s="249"/>
      <c r="AK209" s="249"/>
      <c r="AL209" s="171"/>
    </row>
    <row r="210" spans="2:38" x14ac:dyDescent="0.2">
      <c r="B210" s="214" t="s">
        <v>444</v>
      </c>
      <c r="C210" s="214" t="s">
        <v>464</v>
      </c>
      <c r="D210" s="232" t="s">
        <v>465</v>
      </c>
      <c r="E210" s="216" t="s">
        <v>527</v>
      </c>
      <c r="F210" s="216" t="s">
        <v>466</v>
      </c>
      <c r="G210" s="248">
        <v>0.25767000000000001</v>
      </c>
      <c r="H210" s="242">
        <v>9223074</v>
      </c>
      <c r="I210" s="220"/>
      <c r="J210" s="225"/>
      <c r="K210" s="218"/>
      <c r="L210" s="220"/>
      <c r="M210" s="234"/>
      <c r="N210" s="234"/>
      <c r="O210" s="234"/>
      <c r="P210" s="234"/>
      <c r="Q210" s="234"/>
      <c r="R210" s="234"/>
      <c r="S210" s="234"/>
      <c r="T210" s="234"/>
      <c r="U210" s="225"/>
      <c r="V210" s="218"/>
      <c r="W210" s="218"/>
      <c r="X210" s="218"/>
      <c r="Y210" s="234"/>
      <c r="Z210" s="220"/>
      <c r="AA210" s="218"/>
      <c r="AB210" s="234"/>
      <c r="AC210" s="218"/>
      <c r="AD210" s="218"/>
      <c r="AE210" s="225"/>
      <c r="AF210" s="249"/>
      <c r="AG210" s="249"/>
      <c r="AH210" s="249"/>
      <c r="AI210" s="249"/>
      <c r="AJ210" s="249"/>
      <c r="AK210" s="249"/>
      <c r="AL210" s="171"/>
    </row>
    <row r="211" spans="2:38" x14ac:dyDescent="0.2">
      <c r="B211" s="214" t="s">
        <v>444</v>
      </c>
      <c r="C211" s="214" t="s">
        <v>464</v>
      </c>
      <c r="D211" s="232" t="s">
        <v>467</v>
      </c>
      <c r="E211" s="216" t="s">
        <v>527</v>
      </c>
      <c r="F211" s="216" t="s">
        <v>466</v>
      </c>
      <c r="G211" s="248">
        <v>0.25767000000000001</v>
      </c>
      <c r="H211" s="242">
        <v>42200000</v>
      </c>
      <c r="I211" s="220"/>
      <c r="J211" s="225"/>
      <c r="K211" s="218"/>
      <c r="L211" s="218"/>
      <c r="M211" s="234"/>
      <c r="N211" s="234"/>
      <c r="O211" s="225"/>
      <c r="P211" s="234"/>
      <c r="Q211" s="234"/>
      <c r="R211" s="234"/>
      <c r="S211" s="234"/>
      <c r="T211" s="234"/>
      <c r="U211" s="234"/>
      <c r="V211" s="220"/>
      <c r="W211" s="218"/>
      <c r="X211" s="218"/>
      <c r="Y211" s="234"/>
      <c r="Z211" s="218"/>
      <c r="AA211" s="218"/>
      <c r="AB211" s="234"/>
      <c r="AC211" s="218"/>
      <c r="AD211" s="218"/>
      <c r="AE211" s="225"/>
      <c r="AF211" s="249"/>
      <c r="AG211" s="249"/>
      <c r="AH211" s="249"/>
      <c r="AI211" s="249"/>
      <c r="AJ211" s="249"/>
      <c r="AK211" s="249"/>
      <c r="AL211" s="171"/>
    </row>
    <row r="212" spans="2:38" x14ac:dyDescent="0.2">
      <c r="B212" s="214" t="s">
        <v>444</v>
      </c>
      <c r="C212" s="214" t="s">
        <v>464</v>
      </c>
      <c r="D212" s="232" t="s">
        <v>468</v>
      </c>
      <c r="E212" s="216" t="s">
        <v>83</v>
      </c>
      <c r="F212" s="216" t="s">
        <v>466</v>
      </c>
      <c r="G212" s="272">
        <v>16242767</v>
      </c>
      <c r="H212" s="242">
        <v>15005304</v>
      </c>
      <c r="I212" s="220"/>
      <c r="J212" s="225"/>
      <c r="K212" s="218"/>
      <c r="L212" s="218"/>
      <c r="M212" s="234"/>
      <c r="N212" s="234"/>
      <c r="O212" s="225"/>
      <c r="P212" s="234"/>
      <c r="Q212" s="234"/>
      <c r="R212" s="234"/>
      <c r="S212" s="234"/>
      <c r="T212" s="234"/>
      <c r="U212" s="234"/>
      <c r="V212" s="220"/>
      <c r="W212" s="218"/>
      <c r="X212" s="218"/>
      <c r="Y212" s="234"/>
      <c r="Z212" s="220"/>
      <c r="AA212" s="218"/>
      <c r="AB212" s="234"/>
      <c r="AC212" s="218"/>
      <c r="AD212" s="218"/>
      <c r="AE212" s="225"/>
      <c r="AF212" s="249"/>
      <c r="AG212" s="249"/>
      <c r="AH212" s="249"/>
      <c r="AI212" s="249"/>
      <c r="AJ212" s="249"/>
      <c r="AK212" s="249"/>
      <c r="AL212" s="171"/>
    </row>
    <row r="213" spans="2:38" x14ac:dyDescent="0.2">
      <c r="B213" s="214" t="s">
        <v>444</v>
      </c>
      <c r="C213" s="214" t="s">
        <v>464</v>
      </c>
      <c r="D213" s="232" t="s">
        <v>469</v>
      </c>
      <c r="E213" s="216" t="s">
        <v>83</v>
      </c>
      <c r="F213" s="216" t="s">
        <v>466</v>
      </c>
      <c r="G213" s="248">
        <v>0.30189521489999999</v>
      </c>
      <c r="H213" s="242">
        <v>10164000</v>
      </c>
      <c r="I213" s="220"/>
      <c r="J213" s="234"/>
      <c r="K213" s="218"/>
      <c r="L213" s="218"/>
      <c r="M213" s="234"/>
      <c r="N213" s="234"/>
      <c r="O213" s="225"/>
      <c r="P213" s="234"/>
      <c r="Q213" s="234"/>
      <c r="R213" s="234"/>
      <c r="S213" s="234"/>
      <c r="T213" s="234"/>
      <c r="U213" s="234"/>
      <c r="V213" s="220"/>
      <c r="W213" s="220"/>
      <c r="X213" s="220"/>
      <c r="Y213" s="234"/>
      <c r="Z213" s="220"/>
      <c r="AA213" s="220"/>
      <c r="AB213" s="234"/>
      <c r="AC213" s="220"/>
      <c r="AD213" s="220"/>
      <c r="AE213" s="234"/>
      <c r="AF213" s="250"/>
      <c r="AG213" s="250"/>
      <c r="AH213" s="250"/>
      <c r="AI213" s="250"/>
      <c r="AJ213" s="250"/>
      <c r="AK213" s="250"/>
      <c r="AL213" s="171"/>
    </row>
    <row r="214" spans="2:38" x14ac:dyDescent="0.2">
      <c r="B214" s="214" t="s">
        <v>444</v>
      </c>
      <c r="C214" s="214" t="s">
        <v>464</v>
      </c>
      <c r="D214" s="232" t="s">
        <v>470</v>
      </c>
      <c r="E214" s="216" t="s">
        <v>83</v>
      </c>
      <c r="F214" s="216" t="s">
        <v>466</v>
      </c>
      <c r="G214" s="248">
        <v>0.30720078639999998</v>
      </c>
      <c r="H214" s="242">
        <v>108600000</v>
      </c>
      <c r="I214" s="220"/>
      <c r="J214" s="225"/>
      <c r="K214" s="218"/>
      <c r="L214" s="220"/>
      <c r="M214" s="234"/>
      <c r="N214" s="234"/>
      <c r="O214" s="234"/>
      <c r="P214" s="234"/>
      <c r="Q214" s="234"/>
      <c r="R214" s="234"/>
      <c r="S214" s="234"/>
      <c r="T214" s="234"/>
      <c r="U214" s="234"/>
      <c r="V214" s="220"/>
      <c r="W214" s="218"/>
      <c r="X214" s="220"/>
      <c r="Y214" s="234"/>
      <c r="Z214" s="220"/>
      <c r="AA214" s="220"/>
      <c r="AB214" s="234"/>
      <c r="AC214" s="220"/>
      <c r="AD214" s="218"/>
      <c r="AE214" s="225"/>
      <c r="AF214" s="250"/>
      <c r="AG214" s="250"/>
      <c r="AH214" s="250"/>
      <c r="AI214" s="250"/>
      <c r="AJ214" s="250"/>
      <c r="AK214" s="250"/>
      <c r="AL214" s="171"/>
    </row>
    <row r="215" spans="2:38" x14ac:dyDescent="0.2">
      <c r="B215" s="214" t="s">
        <v>444</v>
      </c>
      <c r="C215" s="214" t="s">
        <v>471</v>
      </c>
      <c r="D215" s="232" t="s">
        <v>970</v>
      </c>
      <c r="E215" s="216" t="s">
        <v>527</v>
      </c>
      <c r="F215" s="216" t="s">
        <v>473</v>
      </c>
      <c r="G215" s="248">
        <v>1.441E-3</v>
      </c>
      <c r="H215" s="242">
        <v>23324306</v>
      </c>
      <c r="I215" s="218"/>
      <c r="J215" s="225"/>
      <c r="K215" s="218"/>
      <c r="L215" s="220"/>
      <c r="M215" s="225"/>
      <c r="N215" s="234"/>
      <c r="O215" s="234"/>
      <c r="P215" s="225"/>
      <c r="Q215" s="234"/>
      <c r="R215" s="234"/>
      <c r="S215" s="234"/>
      <c r="T215" s="234"/>
      <c r="U215" s="234"/>
      <c r="V215" s="218"/>
      <c r="W215" s="218"/>
      <c r="X215" s="218"/>
      <c r="Y215" s="234"/>
      <c r="Z215" s="218"/>
      <c r="AA215" s="218"/>
      <c r="AB215" s="234"/>
      <c r="AC215" s="218"/>
      <c r="AD215" s="218"/>
      <c r="AE215" s="225"/>
      <c r="AF215" s="249"/>
      <c r="AG215" s="249"/>
      <c r="AH215" s="249"/>
      <c r="AI215" s="249"/>
      <c r="AJ215" s="249"/>
      <c r="AK215" s="249"/>
      <c r="AL215" s="171"/>
    </row>
    <row r="216" spans="2:38" x14ac:dyDescent="0.2">
      <c r="B216" s="214" t="s">
        <v>444</v>
      </c>
      <c r="C216" s="214" t="s">
        <v>471</v>
      </c>
      <c r="D216" s="232" t="s">
        <v>474</v>
      </c>
      <c r="E216" s="216" t="s">
        <v>527</v>
      </c>
      <c r="F216" s="216" t="s">
        <v>473</v>
      </c>
      <c r="G216" s="248">
        <v>1.441E-3</v>
      </c>
      <c r="H216" s="242">
        <v>1955521</v>
      </c>
      <c r="I216" s="220"/>
      <c r="J216" s="234"/>
      <c r="K216" s="218"/>
      <c r="L216" s="218"/>
      <c r="M216" s="234"/>
      <c r="N216" s="234"/>
      <c r="O216" s="225"/>
      <c r="P216" s="234"/>
      <c r="Q216" s="234"/>
      <c r="R216" s="234"/>
      <c r="S216" s="234"/>
      <c r="T216" s="234"/>
      <c r="U216" s="234"/>
      <c r="V216" s="220"/>
      <c r="W216" s="218"/>
      <c r="X216" s="220"/>
      <c r="Y216" s="234"/>
      <c r="Z216" s="220"/>
      <c r="AA216" s="218"/>
      <c r="AB216" s="234"/>
      <c r="AC216" s="220"/>
      <c r="AD216" s="218"/>
      <c r="AE216" s="225"/>
      <c r="AF216" s="249"/>
      <c r="AG216" s="249"/>
      <c r="AH216" s="249"/>
      <c r="AI216" s="249"/>
      <c r="AJ216" s="249"/>
      <c r="AK216" s="249"/>
    </row>
    <row r="217" spans="2:38" ht="19.5" customHeight="1" x14ac:dyDescent="0.2">
      <c r="B217" s="214" t="s">
        <v>444</v>
      </c>
      <c r="C217" s="214" t="s">
        <v>471</v>
      </c>
      <c r="D217" s="232" t="s">
        <v>475</v>
      </c>
      <c r="E217" s="216" t="s">
        <v>527</v>
      </c>
      <c r="F217" s="216" t="s">
        <v>473</v>
      </c>
      <c r="G217" s="248">
        <v>1.441E-3</v>
      </c>
      <c r="H217" s="242">
        <f>2030700*2</f>
        <v>4061400</v>
      </c>
      <c r="I217" s="220"/>
      <c r="J217" s="234"/>
      <c r="K217" s="218"/>
      <c r="L217" s="218"/>
      <c r="M217" s="234"/>
      <c r="N217" s="234"/>
      <c r="O217" s="225"/>
      <c r="P217" s="234"/>
      <c r="Q217" s="234"/>
      <c r="R217" s="234"/>
      <c r="S217" s="225">
        <f>'Data in Local Currency'!S217*'Data in Local Currency'!G217</f>
        <v>0</v>
      </c>
      <c r="T217" s="234"/>
      <c r="U217" s="234"/>
      <c r="V217" s="218"/>
      <c r="W217" s="218"/>
      <c r="X217" s="220"/>
      <c r="Y217" s="234"/>
      <c r="Z217" s="220"/>
      <c r="AA217" s="220"/>
      <c r="AB217" s="234"/>
      <c r="AC217" s="220"/>
      <c r="AD217" s="218"/>
      <c r="AE217" s="225"/>
      <c r="AF217" s="249"/>
      <c r="AG217" s="249"/>
      <c r="AH217" s="249"/>
      <c r="AI217" s="249"/>
      <c r="AJ217" s="249"/>
      <c r="AK217" s="249"/>
      <c r="AL217" s="171"/>
    </row>
    <row r="218" spans="2:38" ht="19.5" customHeight="1" x14ac:dyDescent="0.2">
      <c r="B218" s="214" t="s">
        <v>444</v>
      </c>
      <c r="C218" s="214" t="s">
        <v>471</v>
      </c>
      <c r="D218" s="232" t="s">
        <v>477</v>
      </c>
      <c r="E218" s="216" t="s">
        <v>527</v>
      </c>
      <c r="F218" s="216" t="s">
        <v>473</v>
      </c>
      <c r="G218" s="248">
        <v>1.441E-3</v>
      </c>
      <c r="H218" s="242">
        <v>919366</v>
      </c>
      <c r="I218" s="220"/>
      <c r="J218" s="234"/>
      <c r="K218" s="218"/>
      <c r="L218" s="218"/>
      <c r="M218" s="234"/>
      <c r="N218" s="234"/>
      <c r="O218" s="225"/>
      <c r="P218" s="234"/>
      <c r="Q218" s="234"/>
      <c r="R218" s="234"/>
      <c r="S218" s="225">
        <f>'Data in Local Currency'!S218*'Data in Local Currency'!G218</f>
        <v>0</v>
      </c>
      <c r="T218" s="234"/>
      <c r="U218" s="234"/>
      <c r="V218" s="218"/>
      <c r="W218" s="218"/>
      <c r="X218" s="218"/>
      <c r="Y218" s="234"/>
      <c r="Z218" s="218"/>
      <c r="AA218" s="218"/>
      <c r="AB218" s="234"/>
      <c r="AC218" s="218"/>
      <c r="AD218" s="218"/>
      <c r="AE218" s="225"/>
      <c r="AF218" s="249"/>
      <c r="AG218" s="249"/>
      <c r="AH218" s="249"/>
      <c r="AI218" s="249"/>
      <c r="AJ218" s="249"/>
      <c r="AK218" s="249"/>
    </row>
    <row r="219" spans="2:38" x14ac:dyDescent="0.2">
      <c r="B219" s="214" t="s">
        <v>444</v>
      </c>
      <c r="C219" s="214" t="s">
        <v>478</v>
      </c>
      <c r="D219" s="232" t="s">
        <v>479</v>
      </c>
      <c r="E219" s="216" t="s">
        <v>527</v>
      </c>
      <c r="F219" s="216" t="s">
        <v>480</v>
      </c>
      <c r="G219" s="248">
        <v>3.0800000000000001E-4</v>
      </c>
      <c r="H219" s="242">
        <v>32700000</v>
      </c>
      <c r="I219" s="220"/>
      <c r="J219" s="225"/>
      <c r="K219" s="218"/>
      <c r="L219" s="220"/>
      <c r="M219" s="234"/>
      <c r="N219" s="234"/>
      <c r="O219" s="234"/>
      <c r="P219" s="234"/>
      <c r="Q219" s="234"/>
      <c r="R219" s="234"/>
      <c r="S219" s="234"/>
      <c r="T219" s="234"/>
      <c r="U219" s="234"/>
      <c r="V219" s="220"/>
      <c r="W219" s="220"/>
      <c r="X219" s="220"/>
      <c r="Y219" s="234"/>
      <c r="Z219" s="220"/>
      <c r="AA219" s="220"/>
      <c r="AB219" s="234"/>
      <c r="AC219" s="220"/>
      <c r="AD219" s="220"/>
      <c r="AE219" s="225"/>
      <c r="AF219" s="250"/>
      <c r="AG219" s="250"/>
      <c r="AH219" s="250"/>
      <c r="AI219" s="250"/>
      <c r="AJ219" s="250"/>
      <c r="AK219" s="250"/>
    </row>
    <row r="220" spans="2:38" x14ac:dyDescent="0.2">
      <c r="B220" s="214" t="s">
        <v>444</v>
      </c>
      <c r="C220" s="214" t="s">
        <v>481</v>
      </c>
      <c r="D220" s="232" t="s">
        <v>482</v>
      </c>
      <c r="E220" s="216" t="s">
        <v>527</v>
      </c>
      <c r="F220" s="216" t="s">
        <v>251</v>
      </c>
      <c r="G220" s="270">
        <v>1</v>
      </c>
      <c r="H220" s="242">
        <v>5300000</v>
      </c>
      <c r="I220" s="220"/>
      <c r="J220" s="234"/>
      <c r="K220" s="218"/>
      <c r="L220" s="220"/>
      <c r="M220" s="234"/>
      <c r="N220" s="234"/>
      <c r="O220" s="234"/>
      <c r="P220" s="234"/>
      <c r="Q220" s="234"/>
      <c r="R220" s="234"/>
      <c r="S220" s="234"/>
      <c r="T220" s="234"/>
      <c r="U220" s="234"/>
      <c r="V220" s="220"/>
      <c r="W220" s="220"/>
      <c r="X220" s="220"/>
      <c r="Y220" s="234"/>
      <c r="Z220" s="220"/>
      <c r="AA220" s="220"/>
      <c r="AB220" s="234"/>
      <c r="AC220" s="220"/>
      <c r="AD220" s="220"/>
      <c r="AE220" s="225"/>
      <c r="AF220" s="250"/>
      <c r="AG220" s="250"/>
      <c r="AH220" s="250"/>
      <c r="AI220" s="250"/>
      <c r="AJ220" s="250"/>
      <c r="AK220" s="250"/>
    </row>
    <row r="221" spans="2:38" x14ac:dyDescent="0.2">
      <c r="B221" s="214" t="s">
        <v>444</v>
      </c>
      <c r="C221" s="214" t="s">
        <v>481</v>
      </c>
      <c r="D221" s="232" t="s">
        <v>483</v>
      </c>
      <c r="E221" s="216" t="s">
        <v>66</v>
      </c>
      <c r="F221" s="216" t="s">
        <v>251</v>
      </c>
      <c r="G221" s="270">
        <v>1</v>
      </c>
      <c r="H221" s="242">
        <v>3749467</v>
      </c>
      <c r="I221" s="218"/>
      <c r="J221" s="234"/>
      <c r="K221" s="218"/>
      <c r="L221" s="218"/>
      <c r="M221" s="225"/>
      <c r="N221" s="234"/>
      <c r="O221" s="225"/>
      <c r="P221" s="225"/>
      <c r="Q221" s="234"/>
      <c r="R221" s="234"/>
      <c r="S221" s="234"/>
      <c r="T221" s="234"/>
      <c r="U221" s="234"/>
      <c r="V221" s="220"/>
      <c r="W221" s="218"/>
      <c r="X221" s="220"/>
      <c r="Y221" s="234"/>
      <c r="Z221" s="220"/>
      <c r="AA221" s="220"/>
      <c r="AB221" s="234"/>
      <c r="AC221" s="220"/>
      <c r="AD221" s="218"/>
      <c r="AE221" s="225"/>
      <c r="AF221" s="250"/>
      <c r="AG221" s="250"/>
      <c r="AH221" s="250"/>
      <c r="AI221" s="250"/>
      <c r="AJ221" s="250"/>
      <c r="AK221" s="250"/>
    </row>
    <row r="222" spans="2:38" x14ac:dyDescent="0.2">
      <c r="B222" s="214" t="s">
        <v>444</v>
      </c>
      <c r="C222" s="214" t="s">
        <v>484</v>
      </c>
      <c r="D222" s="232" t="s">
        <v>485</v>
      </c>
      <c r="E222" s="216" t="s">
        <v>66</v>
      </c>
      <c r="F222" s="216" t="s">
        <v>486</v>
      </c>
      <c r="G222" s="248">
        <v>4.9111090000000003E-3</v>
      </c>
      <c r="H222" s="273">
        <v>572000</v>
      </c>
      <c r="I222" s="236"/>
      <c r="J222" s="234"/>
      <c r="K222" s="218"/>
      <c r="L222" s="220"/>
      <c r="M222" s="234"/>
      <c r="N222" s="234"/>
      <c r="O222" s="234"/>
      <c r="P222" s="234"/>
      <c r="Q222" s="234"/>
      <c r="R222" s="234"/>
      <c r="S222" s="234"/>
      <c r="T222" s="234"/>
      <c r="U222" s="234"/>
      <c r="V222" s="220"/>
      <c r="W222" s="220"/>
      <c r="X222" s="220"/>
      <c r="Y222" s="234"/>
      <c r="Z222" s="220"/>
      <c r="AA222" s="220"/>
      <c r="AB222" s="254"/>
      <c r="AC222" s="220"/>
      <c r="AD222" s="220"/>
      <c r="AE222" s="234"/>
      <c r="AF222" s="250"/>
      <c r="AG222" s="250"/>
      <c r="AH222" s="250"/>
      <c r="AI222" s="250"/>
      <c r="AJ222" s="250"/>
      <c r="AK222" s="250"/>
    </row>
    <row r="223" spans="2:38" x14ac:dyDescent="0.2">
      <c r="B223" s="214" t="s">
        <v>444</v>
      </c>
      <c r="C223" s="214" t="s">
        <v>487</v>
      </c>
      <c r="D223" s="232" t="s">
        <v>488</v>
      </c>
      <c r="E223" s="216" t="s">
        <v>533</v>
      </c>
      <c r="F223" s="216" t="s">
        <v>251</v>
      </c>
      <c r="G223" s="270">
        <v>1</v>
      </c>
      <c r="H223" s="242">
        <v>2074668</v>
      </c>
      <c r="I223" s="220"/>
      <c r="J223" s="234"/>
      <c r="K223" s="218"/>
      <c r="L223" s="218"/>
      <c r="M223" s="234"/>
      <c r="N223" s="234"/>
      <c r="O223" s="225"/>
      <c r="P223" s="234"/>
      <c r="Q223" s="234"/>
      <c r="R223" s="234"/>
      <c r="S223" s="234"/>
      <c r="T223" s="234"/>
      <c r="U223" s="234"/>
      <c r="V223" s="220"/>
      <c r="W223" s="218"/>
      <c r="X223" s="218"/>
      <c r="Y223" s="234"/>
      <c r="Z223" s="218"/>
      <c r="AA223" s="218"/>
      <c r="AB223" s="234"/>
      <c r="AC223" s="218"/>
      <c r="AD223" s="218"/>
      <c r="AE223" s="225"/>
      <c r="AF223" s="249"/>
      <c r="AG223" s="249"/>
      <c r="AH223" s="249"/>
      <c r="AI223" s="249"/>
      <c r="AJ223" s="249"/>
      <c r="AK223" s="249"/>
    </row>
    <row r="224" spans="2:38" x14ac:dyDescent="0.2">
      <c r="B224" s="214" t="s">
        <v>489</v>
      </c>
      <c r="C224" s="214" t="s">
        <v>490</v>
      </c>
      <c r="D224" s="232" t="s">
        <v>491</v>
      </c>
      <c r="E224" s="216" t="s">
        <v>527</v>
      </c>
      <c r="F224" s="216" t="s">
        <v>492</v>
      </c>
      <c r="G224" s="248">
        <v>0.73290200000000005</v>
      </c>
      <c r="H224" s="242">
        <v>19428143</v>
      </c>
      <c r="I224" s="220"/>
      <c r="J224" s="225"/>
      <c r="K224" s="218"/>
      <c r="L224" s="218"/>
      <c r="M224" s="234"/>
      <c r="N224" s="234"/>
      <c r="O224" s="225"/>
      <c r="P224" s="234"/>
      <c r="Q224" s="234"/>
      <c r="R224" s="234"/>
      <c r="S224" s="234"/>
      <c r="T224" s="234"/>
      <c r="U224" s="234"/>
      <c r="V224" s="220"/>
      <c r="W224" s="218"/>
      <c r="X224" s="218"/>
      <c r="Y224" s="234"/>
      <c r="Z224" s="220"/>
      <c r="AA224" s="218"/>
      <c r="AB224" s="262"/>
      <c r="AC224" s="220"/>
      <c r="AD224" s="220"/>
      <c r="AE224" s="225"/>
      <c r="AF224" s="249"/>
      <c r="AG224" s="249"/>
      <c r="AH224" s="249"/>
      <c r="AI224" s="249"/>
      <c r="AJ224" s="249"/>
      <c r="AK224" s="249"/>
    </row>
    <row r="225" spans="2:37" x14ac:dyDescent="0.2">
      <c r="B225" s="214" t="s">
        <v>489</v>
      </c>
      <c r="C225" s="214" t="s">
        <v>490</v>
      </c>
      <c r="D225" s="232" t="s">
        <v>493</v>
      </c>
      <c r="E225" s="216" t="s">
        <v>527</v>
      </c>
      <c r="F225" s="216" t="s">
        <v>492</v>
      </c>
      <c r="G225" s="248">
        <v>0.73290200000000005</v>
      </c>
      <c r="H225" s="242">
        <v>49500000</v>
      </c>
      <c r="I225" s="220"/>
      <c r="J225" s="225"/>
      <c r="K225" s="218"/>
      <c r="L225" s="218"/>
      <c r="M225" s="234"/>
      <c r="N225" s="225"/>
      <c r="O225" s="225"/>
      <c r="P225" s="234"/>
      <c r="Q225" s="234"/>
      <c r="R225" s="234"/>
      <c r="S225" s="234"/>
      <c r="T225" s="234"/>
      <c r="U225" s="234"/>
      <c r="V225" s="218"/>
      <c r="W225" s="218"/>
      <c r="X225" s="218"/>
      <c r="Y225" s="234"/>
      <c r="Z225" s="220"/>
      <c r="AA225" s="218"/>
      <c r="AB225" s="225"/>
      <c r="AC225" s="218"/>
      <c r="AD225" s="218"/>
      <c r="AE225" s="225"/>
      <c r="AF225" s="249"/>
      <c r="AG225" s="249"/>
      <c r="AH225" s="249"/>
      <c r="AI225" s="249"/>
      <c r="AJ225" s="249"/>
      <c r="AK225" s="249"/>
    </row>
    <row r="226" spans="2:37" x14ac:dyDescent="0.2">
      <c r="B226" s="214" t="s">
        <v>489</v>
      </c>
      <c r="C226" s="214" t="s">
        <v>490</v>
      </c>
      <c r="D226" s="232" t="s">
        <v>494</v>
      </c>
      <c r="E226" s="216" t="s">
        <v>527</v>
      </c>
      <c r="F226" s="216" t="s">
        <v>492</v>
      </c>
      <c r="G226" s="248">
        <v>0.73290200000000005</v>
      </c>
      <c r="H226" s="242">
        <v>25900000</v>
      </c>
      <c r="I226" s="220"/>
      <c r="J226" s="225"/>
      <c r="K226" s="218"/>
      <c r="L226" s="218"/>
      <c r="M226" s="234"/>
      <c r="N226" s="234"/>
      <c r="O226" s="225"/>
      <c r="P226" s="234"/>
      <c r="Q226" s="234"/>
      <c r="R226" s="234"/>
      <c r="S226" s="234"/>
      <c r="T226" s="234"/>
      <c r="U226" s="234"/>
      <c r="V226" s="218"/>
      <c r="W226" s="218"/>
      <c r="X226" s="218"/>
      <c r="Y226" s="234"/>
      <c r="Z226" s="220"/>
      <c r="AA226" s="218"/>
      <c r="AB226" s="225"/>
      <c r="AC226" s="218"/>
      <c r="AD226" s="218"/>
      <c r="AE226" s="225"/>
      <c r="AF226" s="250"/>
      <c r="AG226" s="250"/>
      <c r="AH226" s="250"/>
      <c r="AI226" s="250"/>
      <c r="AJ226" s="250"/>
      <c r="AK226" s="249"/>
    </row>
    <row r="227" spans="2:37" x14ac:dyDescent="0.2">
      <c r="B227" s="214" t="s">
        <v>489</v>
      </c>
      <c r="C227" s="214" t="s">
        <v>490</v>
      </c>
      <c r="D227" s="232" t="s">
        <v>495</v>
      </c>
      <c r="E227" s="216" t="s">
        <v>527</v>
      </c>
      <c r="F227" s="216" t="s">
        <v>492</v>
      </c>
      <c r="G227" s="248">
        <v>0.73290200000000005</v>
      </c>
      <c r="H227" s="242">
        <v>17300000</v>
      </c>
      <c r="I227" s="220"/>
      <c r="J227" s="225"/>
      <c r="K227" s="218"/>
      <c r="L227" s="218"/>
      <c r="M227" s="234"/>
      <c r="N227" s="234"/>
      <c r="O227" s="225"/>
      <c r="P227" s="234"/>
      <c r="Q227" s="234"/>
      <c r="R227" s="234"/>
      <c r="S227" s="234"/>
      <c r="T227" s="234"/>
      <c r="U227" s="234"/>
      <c r="V227" s="218"/>
      <c r="W227" s="218"/>
      <c r="X227" s="218"/>
      <c r="Y227" s="234"/>
      <c r="Z227" s="220"/>
      <c r="AA227" s="218"/>
      <c r="AB227" s="234"/>
      <c r="AC227" s="218"/>
      <c r="AD227" s="218"/>
      <c r="AE227" s="225"/>
      <c r="AF227" s="249"/>
      <c r="AG227" s="249"/>
      <c r="AH227" s="249"/>
      <c r="AI227" s="249"/>
      <c r="AJ227" s="249"/>
      <c r="AK227" s="249"/>
    </row>
    <row r="228" spans="2:37" x14ac:dyDescent="0.2">
      <c r="B228" s="214" t="s">
        <v>489</v>
      </c>
      <c r="C228" s="214" t="s">
        <v>490</v>
      </c>
      <c r="D228" s="232" t="s">
        <v>496</v>
      </c>
      <c r="E228" s="216" t="s">
        <v>527</v>
      </c>
      <c r="F228" s="216" t="s">
        <v>492</v>
      </c>
      <c r="G228" s="248">
        <v>0.73290200000000005</v>
      </c>
      <c r="H228" s="242">
        <v>8254100</v>
      </c>
      <c r="I228" s="220"/>
      <c r="J228" s="234"/>
      <c r="K228" s="218"/>
      <c r="L228" s="218"/>
      <c r="M228" s="234"/>
      <c r="N228" s="234"/>
      <c r="O228" s="225"/>
      <c r="P228" s="234"/>
      <c r="Q228" s="234"/>
      <c r="R228" s="234"/>
      <c r="S228" s="234"/>
      <c r="T228" s="234"/>
      <c r="U228" s="234"/>
      <c r="V228" s="220"/>
      <c r="W228" s="218"/>
      <c r="X228" s="218"/>
      <c r="Y228" s="234"/>
      <c r="Z228" s="220"/>
      <c r="AA228" s="218"/>
      <c r="AB228" s="234"/>
      <c r="AC228" s="218"/>
      <c r="AD228" s="218"/>
      <c r="AE228" s="225"/>
      <c r="AF228" s="249"/>
      <c r="AG228" s="249"/>
      <c r="AH228" s="249"/>
      <c r="AI228" s="249"/>
      <c r="AJ228" s="249"/>
      <c r="AK228" s="249"/>
    </row>
    <row r="229" spans="2:37" x14ac:dyDescent="0.2">
      <c r="B229" s="214" t="s">
        <v>489</v>
      </c>
      <c r="C229" s="214" t="s">
        <v>490</v>
      </c>
      <c r="D229" s="232" t="s">
        <v>497</v>
      </c>
      <c r="E229" s="216" t="s">
        <v>527</v>
      </c>
      <c r="F229" s="216" t="s">
        <v>492</v>
      </c>
      <c r="G229" s="248">
        <v>0.73290200000000005</v>
      </c>
      <c r="H229" s="242">
        <v>4316079</v>
      </c>
      <c r="I229" s="220"/>
      <c r="J229" s="234"/>
      <c r="K229" s="218"/>
      <c r="L229" s="218"/>
      <c r="M229" s="234"/>
      <c r="N229" s="234"/>
      <c r="O229" s="225"/>
      <c r="P229" s="234"/>
      <c r="Q229" s="234"/>
      <c r="R229" s="234"/>
      <c r="S229" s="234"/>
      <c r="T229" s="234"/>
      <c r="U229" s="234"/>
      <c r="V229" s="218"/>
      <c r="W229" s="218"/>
      <c r="X229" s="218"/>
      <c r="Y229" s="234"/>
      <c r="Z229" s="220"/>
      <c r="AA229" s="218"/>
      <c r="AB229" s="234"/>
      <c r="AC229" s="218"/>
      <c r="AD229" s="218"/>
      <c r="AE229" s="225"/>
      <c r="AF229" s="249"/>
      <c r="AG229" s="249"/>
      <c r="AH229" s="249"/>
      <c r="AI229" s="249"/>
      <c r="AJ229" s="249"/>
      <c r="AK229" s="249"/>
    </row>
    <row r="230" spans="2:37" x14ac:dyDescent="0.2">
      <c r="B230" s="214" t="s">
        <v>489</v>
      </c>
      <c r="C230" s="214" t="s">
        <v>490</v>
      </c>
      <c r="D230" s="232" t="s">
        <v>498</v>
      </c>
      <c r="E230" s="216" t="s">
        <v>527</v>
      </c>
      <c r="F230" s="216" t="s">
        <v>492</v>
      </c>
      <c r="G230" s="248">
        <v>0.73290200000000005</v>
      </c>
      <c r="H230" s="242">
        <v>5110801</v>
      </c>
      <c r="I230" s="220"/>
      <c r="J230" s="234"/>
      <c r="K230" s="218"/>
      <c r="L230" s="220"/>
      <c r="M230" s="234"/>
      <c r="N230" s="234"/>
      <c r="O230" s="234"/>
      <c r="P230" s="234"/>
      <c r="Q230" s="234"/>
      <c r="R230" s="234"/>
      <c r="S230" s="234"/>
      <c r="T230" s="234"/>
      <c r="U230" s="234"/>
      <c r="V230" s="218"/>
      <c r="W230" s="218"/>
      <c r="X230" s="218"/>
      <c r="Y230" s="234"/>
      <c r="Z230" s="220"/>
      <c r="AA230" s="218"/>
      <c r="AB230" s="234"/>
      <c r="AC230" s="218"/>
      <c r="AD230" s="218"/>
      <c r="AE230" s="225"/>
      <c r="AF230" s="249"/>
      <c r="AG230" s="249"/>
      <c r="AH230" s="249"/>
      <c r="AI230" s="249"/>
      <c r="AJ230" s="249"/>
      <c r="AK230" s="249"/>
    </row>
    <row r="231" spans="2:37" x14ac:dyDescent="0.2">
      <c r="B231" s="214" t="s">
        <v>489</v>
      </c>
      <c r="C231" s="214" t="s">
        <v>490</v>
      </c>
      <c r="D231" s="232" t="s">
        <v>499</v>
      </c>
      <c r="E231" s="216" t="s">
        <v>527</v>
      </c>
      <c r="F231" s="216" t="s">
        <v>492</v>
      </c>
      <c r="G231" s="248">
        <v>0.73290200000000005</v>
      </c>
      <c r="H231" s="265">
        <v>4500000</v>
      </c>
      <c r="I231" s="266"/>
      <c r="J231" s="234"/>
      <c r="K231" s="218"/>
      <c r="L231" s="218"/>
      <c r="M231" s="234"/>
      <c r="N231" s="234"/>
      <c r="O231" s="225"/>
      <c r="P231" s="254"/>
      <c r="Q231" s="234"/>
      <c r="R231" s="234"/>
      <c r="S231" s="234"/>
      <c r="T231" s="254"/>
      <c r="U231" s="234"/>
      <c r="V231" s="220"/>
      <c r="W231" s="218"/>
      <c r="X231" s="218"/>
      <c r="Y231" s="234"/>
      <c r="Z231" s="220"/>
      <c r="AA231" s="218"/>
      <c r="AB231" s="254"/>
      <c r="AC231" s="218"/>
      <c r="AD231" s="218"/>
      <c r="AE231" s="225"/>
      <c r="AF231" s="249"/>
      <c r="AG231" s="249"/>
      <c r="AH231" s="249"/>
      <c r="AI231" s="249"/>
      <c r="AJ231" s="249"/>
      <c r="AK231" s="249"/>
    </row>
    <row r="232" spans="2:37" x14ac:dyDescent="0.2">
      <c r="B232" s="214" t="s">
        <v>489</v>
      </c>
      <c r="C232" s="214" t="s">
        <v>490</v>
      </c>
      <c r="D232" s="232" t="s">
        <v>555</v>
      </c>
      <c r="E232" s="216" t="s">
        <v>527</v>
      </c>
      <c r="F232" s="216" t="s">
        <v>492</v>
      </c>
      <c r="G232" s="248">
        <v>0.73290200000000005</v>
      </c>
      <c r="H232" s="265">
        <v>2048627</v>
      </c>
      <c r="I232" s="266"/>
      <c r="J232" s="234"/>
      <c r="K232" s="218"/>
      <c r="L232" s="218"/>
      <c r="M232" s="234"/>
      <c r="N232" s="234"/>
      <c r="O232" s="225"/>
      <c r="P232" s="254"/>
      <c r="Q232" s="234"/>
      <c r="R232" s="234"/>
      <c r="S232" s="234"/>
      <c r="T232" s="254"/>
      <c r="U232" s="234"/>
      <c r="V232" s="220"/>
      <c r="W232" s="218"/>
      <c r="X232" s="218"/>
      <c r="Y232" s="234"/>
      <c r="Z232" s="220"/>
      <c r="AA232" s="218"/>
      <c r="AB232" s="254"/>
      <c r="AC232" s="218"/>
      <c r="AD232" s="218"/>
      <c r="AE232" s="234"/>
      <c r="AF232" s="249"/>
      <c r="AG232" s="249"/>
      <c r="AH232" s="249"/>
      <c r="AI232" s="249"/>
      <c r="AJ232" s="249"/>
      <c r="AK232" s="249"/>
    </row>
    <row r="233" spans="2:37" x14ac:dyDescent="0.2">
      <c r="B233" s="214" t="s">
        <v>489</v>
      </c>
      <c r="C233" s="214" t="s">
        <v>490</v>
      </c>
      <c r="D233" s="232" t="s">
        <v>1024</v>
      </c>
      <c r="E233" s="216" t="s">
        <v>527</v>
      </c>
      <c r="F233" s="216" t="s">
        <v>492</v>
      </c>
      <c r="G233" s="248">
        <v>0.73290200000000005</v>
      </c>
      <c r="H233" s="265">
        <v>1600000</v>
      </c>
      <c r="I233" s="266"/>
      <c r="J233" s="234"/>
      <c r="K233" s="218"/>
      <c r="L233" s="218"/>
      <c r="M233" s="234"/>
      <c r="N233" s="225"/>
      <c r="O233" s="225"/>
      <c r="P233" s="254"/>
      <c r="Q233" s="234"/>
      <c r="R233" s="234"/>
      <c r="S233" s="234"/>
      <c r="T233" s="254"/>
      <c r="U233" s="234"/>
      <c r="V233" s="218"/>
      <c r="W233" s="218"/>
      <c r="X233" s="218"/>
      <c r="Y233" s="234"/>
      <c r="Z233" s="220"/>
      <c r="AA233" s="218"/>
      <c r="AB233" s="254"/>
      <c r="AC233" s="218"/>
      <c r="AD233" s="218"/>
      <c r="AE233" s="234"/>
      <c r="AF233" s="249"/>
      <c r="AG233" s="249"/>
      <c r="AH233" s="249"/>
      <c r="AI233" s="249"/>
      <c r="AJ233" s="249"/>
      <c r="AK233" s="249"/>
    </row>
    <row r="234" spans="2:37" x14ac:dyDescent="0.2">
      <c r="B234" s="214" t="s">
        <v>489</v>
      </c>
      <c r="C234" s="214" t="s">
        <v>430</v>
      </c>
      <c r="D234" s="232" t="s">
        <v>500</v>
      </c>
      <c r="E234" s="216" t="s">
        <v>199</v>
      </c>
      <c r="F234" s="216" t="s">
        <v>251</v>
      </c>
      <c r="G234" s="270">
        <v>1</v>
      </c>
      <c r="H234" s="242">
        <f>19636213*2</f>
        <v>39272426</v>
      </c>
      <c r="I234" s="220"/>
      <c r="J234" s="225"/>
      <c r="K234" s="218"/>
      <c r="L234" s="218"/>
      <c r="M234" s="234"/>
      <c r="N234" s="225"/>
      <c r="O234" s="225"/>
      <c r="P234" s="254"/>
      <c r="Q234" s="234"/>
      <c r="R234" s="225">
        <f>'Data in Local Currency'!G234*'Data in Local Currency'!R234</f>
        <v>0</v>
      </c>
      <c r="S234" s="225">
        <f>'Data in Local Currency'!S234*'Data in Local Currency'!G234</f>
        <v>0</v>
      </c>
      <c r="T234" s="225">
        <f>'Data in Local Currency'!T234*'Data in Local Currency'!G234</f>
        <v>0</v>
      </c>
      <c r="U234" s="234"/>
      <c r="V234" s="218"/>
      <c r="W234" s="218"/>
      <c r="X234" s="218"/>
      <c r="Y234" s="234"/>
      <c r="Z234" s="218"/>
      <c r="AA234" s="218"/>
      <c r="AB234" s="254"/>
      <c r="AC234" s="220"/>
      <c r="AD234" s="218"/>
      <c r="AE234" s="234"/>
      <c r="AF234" s="250"/>
      <c r="AG234" s="250"/>
      <c r="AH234" s="250"/>
      <c r="AI234" s="250"/>
      <c r="AJ234" s="250"/>
      <c r="AK234" s="250"/>
    </row>
    <row r="235" spans="2:37" x14ac:dyDescent="0.2">
      <c r="B235" s="214" t="s">
        <v>489</v>
      </c>
      <c r="C235" s="214" t="s">
        <v>430</v>
      </c>
      <c r="D235" s="232" t="s">
        <v>501</v>
      </c>
      <c r="E235" s="216" t="s">
        <v>527</v>
      </c>
      <c r="F235" s="216" t="s">
        <v>251</v>
      </c>
      <c r="G235" s="270">
        <v>1</v>
      </c>
      <c r="H235" s="242">
        <v>64495000</v>
      </c>
      <c r="I235" s="220"/>
      <c r="J235" s="225"/>
      <c r="K235" s="218"/>
      <c r="L235" s="218"/>
      <c r="M235" s="234"/>
      <c r="N235" s="234"/>
      <c r="O235" s="225"/>
      <c r="P235" s="254"/>
      <c r="Q235" s="234"/>
      <c r="R235" s="225">
        <f>'Data in Local Currency'!G235*'Data in Local Currency'!R235</f>
        <v>0</v>
      </c>
      <c r="S235" s="225">
        <f>'Data in Local Currency'!S235*'Data in Local Currency'!G235</f>
        <v>0</v>
      </c>
      <c r="T235" s="225">
        <f>'Data in Local Currency'!T235*'Data in Local Currency'!G235</f>
        <v>0</v>
      </c>
      <c r="U235" s="234"/>
      <c r="V235" s="218"/>
      <c r="W235" s="218"/>
      <c r="X235" s="218"/>
      <c r="Y235" s="234"/>
      <c r="Z235" s="218"/>
      <c r="AA235" s="218"/>
      <c r="AB235" s="262"/>
      <c r="AC235" s="218"/>
      <c r="AD235" s="218"/>
      <c r="AE235" s="234"/>
      <c r="AF235" s="249"/>
      <c r="AG235" s="249"/>
      <c r="AH235" s="249"/>
      <c r="AI235" s="249"/>
      <c r="AJ235" s="249"/>
      <c r="AK235" s="249"/>
    </row>
    <row r="236" spans="2:37" ht="18" customHeight="1" x14ac:dyDescent="0.2">
      <c r="B236" s="214" t="s">
        <v>489</v>
      </c>
      <c r="C236" s="214" t="s">
        <v>430</v>
      </c>
      <c r="D236" s="232" t="s">
        <v>502</v>
      </c>
      <c r="E236" s="216" t="s">
        <v>527</v>
      </c>
      <c r="F236" s="216" t="s">
        <v>251</v>
      </c>
      <c r="G236" s="270">
        <v>1</v>
      </c>
      <c r="H236" s="265">
        <f>30779368*2</f>
        <v>61558736</v>
      </c>
      <c r="I236" s="266"/>
      <c r="J236" s="225"/>
      <c r="K236" s="218"/>
      <c r="L236" s="218"/>
      <c r="M236" s="234"/>
      <c r="N236" s="225"/>
      <c r="O236" s="225"/>
      <c r="P236" s="254"/>
      <c r="Q236" s="234"/>
      <c r="R236" s="225">
        <f>'Data in Local Currency'!G236*'Data in Local Currency'!R236</f>
        <v>0</v>
      </c>
      <c r="S236" s="225">
        <f>'Data in Local Currency'!S236*'Data in Local Currency'!G236</f>
        <v>0</v>
      </c>
      <c r="T236" s="225">
        <f>'Data in Local Currency'!T236*'Data in Local Currency'!G236</f>
        <v>0</v>
      </c>
      <c r="U236" s="234"/>
      <c r="V236" s="218"/>
      <c r="W236" s="218"/>
      <c r="X236" s="218"/>
      <c r="Y236" s="234"/>
      <c r="Z236" s="218"/>
      <c r="AA236" s="218"/>
      <c r="AB236" s="262"/>
      <c r="AC236" s="218"/>
      <c r="AD236" s="218"/>
      <c r="AE236" s="234"/>
      <c r="AF236" s="250"/>
      <c r="AG236" s="250"/>
      <c r="AH236" s="250"/>
      <c r="AI236" s="250"/>
      <c r="AJ236" s="250"/>
      <c r="AK236" s="250"/>
    </row>
    <row r="237" spans="2:37" ht="18" customHeight="1" x14ac:dyDescent="0.2">
      <c r="B237" s="214" t="s">
        <v>489</v>
      </c>
      <c r="C237" s="214" t="s">
        <v>430</v>
      </c>
      <c r="D237" s="232" t="s">
        <v>569</v>
      </c>
      <c r="E237" s="216" t="s">
        <v>527</v>
      </c>
      <c r="F237" s="216" t="s">
        <v>251</v>
      </c>
      <c r="G237" s="270">
        <v>1</v>
      </c>
      <c r="H237" s="265">
        <v>86633058</v>
      </c>
      <c r="I237" s="266"/>
      <c r="J237" s="225"/>
      <c r="K237" s="218"/>
      <c r="L237" s="218"/>
      <c r="M237" s="234"/>
      <c r="N237" s="225"/>
      <c r="O237" s="225"/>
      <c r="P237" s="234"/>
      <c r="Q237" s="234"/>
      <c r="R237" s="225">
        <f>'Data in Local Currency'!G237*'Data in Local Currency'!R237</f>
        <v>0</v>
      </c>
      <c r="S237" s="225">
        <f>'Data in Local Currency'!S237*'Data in Local Currency'!G237</f>
        <v>0</v>
      </c>
      <c r="T237" s="225">
        <f>'Data in Local Currency'!T237*'Data in Local Currency'!G237</f>
        <v>0</v>
      </c>
      <c r="U237" s="234"/>
      <c r="V237" s="218"/>
      <c r="W237" s="218"/>
      <c r="X237" s="218"/>
      <c r="Y237" s="234"/>
      <c r="Z237" s="218"/>
      <c r="AA237" s="218"/>
      <c r="AB237" s="262"/>
      <c r="AC237" s="218"/>
      <c r="AD237" s="218"/>
      <c r="AE237" s="234"/>
      <c r="AF237" s="249"/>
      <c r="AG237" s="249"/>
      <c r="AH237" s="249"/>
      <c r="AI237" s="249"/>
      <c r="AJ237" s="249"/>
      <c r="AK237" s="249"/>
    </row>
    <row r="238" spans="2:37" x14ac:dyDescent="0.2">
      <c r="B238" s="214" t="s">
        <v>489</v>
      </c>
      <c r="C238" s="214" t="s">
        <v>430</v>
      </c>
      <c r="D238" s="232" t="s">
        <v>503</v>
      </c>
      <c r="E238" s="216" t="s">
        <v>199</v>
      </c>
      <c r="F238" s="216" t="s">
        <v>251</v>
      </c>
      <c r="G238" s="270">
        <v>1</v>
      </c>
      <c r="H238" s="242">
        <v>23431340</v>
      </c>
      <c r="I238" s="220"/>
      <c r="J238" s="225"/>
      <c r="K238" s="218"/>
      <c r="L238" s="218"/>
      <c r="M238" s="234"/>
      <c r="N238" s="225"/>
      <c r="O238" s="225"/>
      <c r="P238" s="234"/>
      <c r="Q238" s="234"/>
      <c r="R238" s="225">
        <f>'Data in Local Currency'!G238*'Data in Local Currency'!R238</f>
        <v>0</v>
      </c>
      <c r="S238" s="225">
        <f>'Data in Local Currency'!S238*'Data in Local Currency'!G238</f>
        <v>0</v>
      </c>
      <c r="T238" s="225">
        <f>'Data in Local Currency'!T238*'Data in Local Currency'!G238</f>
        <v>0</v>
      </c>
      <c r="U238" s="234"/>
      <c r="V238" s="218"/>
      <c r="W238" s="218"/>
      <c r="X238" s="218"/>
      <c r="Y238" s="234"/>
      <c r="Z238" s="218"/>
      <c r="AA238" s="218"/>
      <c r="AB238" s="225"/>
      <c r="AC238" s="218"/>
      <c r="AD238" s="218"/>
      <c r="AE238" s="234"/>
      <c r="AF238" s="249"/>
      <c r="AG238" s="249"/>
      <c r="AH238" s="249"/>
      <c r="AI238" s="249"/>
      <c r="AJ238" s="249"/>
      <c r="AK238" s="249"/>
    </row>
    <row r="239" spans="2:37" x14ac:dyDescent="0.2">
      <c r="B239" s="214" t="s">
        <v>489</v>
      </c>
      <c r="C239" s="214" t="s">
        <v>430</v>
      </c>
      <c r="D239" s="232" t="s">
        <v>504</v>
      </c>
      <c r="E239" s="216" t="s">
        <v>199</v>
      </c>
      <c r="F239" s="216" t="s">
        <v>251</v>
      </c>
      <c r="G239" s="270">
        <v>1</v>
      </c>
      <c r="H239" s="265">
        <v>57780300</v>
      </c>
      <c r="I239" s="266"/>
      <c r="J239" s="225"/>
      <c r="K239" s="218"/>
      <c r="L239" s="218"/>
      <c r="M239" s="234"/>
      <c r="N239" s="225"/>
      <c r="O239" s="225"/>
      <c r="P239" s="234"/>
      <c r="Q239" s="234"/>
      <c r="R239" s="225">
        <f>'Data in Local Currency'!G239*'Data in Local Currency'!R239</f>
        <v>0</v>
      </c>
      <c r="S239" s="225">
        <f>'Data in Local Currency'!S239*'Data in Local Currency'!G239</f>
        <v>0</v>
      </c>
      <c r="T239" s="225">
        <f>'Data in Local Currency'!T239*'Data in Local Currency'!G239</f>
        <v>0</v>
      </c>
      <c r="U239" s="234"/>
      <c r="V239" s="218"/>
      <c r="W239" s="218"/>
      <c r="X239" s="218"/>
      <c r="Y239" s="234"/>
      <c r="Z239" s="218"/>
      <c r="AA239" s="218"/>
      <c r="AB239" s="225"/>
      <c r="AC239" s="218"/>
      <c r="AD239" s="218"/>
      <c r="AE239" s="234"/>
      <c r="AF239" s="249"/>
      <c r="AG239" s="249"/>
      <c r="AH239" s="249"/>
      <c r="AI239" s="249"/>
      <c r="AJ239" s="249"/>
      <c r="AK239" s="249"/>
    </row>
    <row r="240" spans="2:37" x14ac:dyDescent="0.2">
      <c r="B240" s="214" t="s">
        <v>489</v>
      </c>
      <c r="C240" s="214" t="s">
        <v>430</v>
      </c>
      <c r="D240" s="232" t="s">
        <v>505</v>
      </c>
      <c r="E240" s="216" t="s">
        <v>527</v>
      </c>
      <c r="F240" s="216" t="s">
        <v>251</v>
      </c>
      <c r="G240" s="270">
        <v>1</v>
      </c>
      <c r="H240" s="265">
        <v>49850000</v>
      </c>
      <c r="I240" s="266"/>
      <c r="J240" s="225"/>
      <c r="K240" s="218"/>
      <c r="L240" s="218"/>
      <c r="M240" s="234"/>
      <c r="N240" s="225"/>
      <c r="O240" s="225"/>
      <c r="P240" s="234"/>
      <c r="Q240" s="234"/>
      <c r="R240" s="225">
        <f>'Data in Local Currency'!G240*'Data in Local Currency'!R240</f>
        <v>0</v>
      </c>
      <c r="S240" s="225">
        <f>'Data in Local Currency'!S240*'Data in Local Currency'!G240</f>
        <v>0</v>
      </c>
      <c r="T240" s="225">
        <f>'Data in Local Currency'!T240*'Data in Local Currency'!G240</f>
        <v>0</v>
      </c>
      <c r="U240" s="234"/>
      <c r="V240" s="218"/>
      <c r="W240" s="218"/>
      <c r="X240" s="218"/>
      <c r="Y240" s="234"/>
      <c r="Z240" s="218"/>
      <c r="AA240" s="218"/>
      <c r="AB240" s="225"/>
      <c r="AC240" s="218"/>
      <c r="AD240" s="218"/>
      <c r="AE240" s="234"/>
      <c r="AF240" s="250"/>
      <c r="AG240" s="250"/>
      <c r="AH240" s="250"/>
      <c r="AI240" s="250"/>
      <c r="AJ240" s="250"/>
      <c r="AK240" s="250"/>
    </row>
    <row r="241" spans="2:37" ht="12" customHeight="1" x14ac:dyDescent="0.2">
      <c r="B241" s="214" t="s">
        <v>489</v>
      </c>
      <c r="C241" s="214" t="s">
        <v>430</v>
      </c>
      <c r="D241" s="232" t="s">
        <v>558</v>
      </c>
      <c r="E241" s="216" t="s">
        <v>199</v>
      </c>
      <c r="F241" s="216" t="s">
        <v>251</v>
      </c>
      <c r="G241" s="270">
        <v>1</v>
      </c>
      <c r="H241" s="265">
        <v>55327328</v>
      </c>
      <c r="I241" s="266"/>
      <c r="J241" s="225"/>
      <c r="K241" s="218"/>
      <c r="L241" s="218"/>
      <c r="M241" s="234"/>
      <c r="N241" s="234"/>
      <c r="O241" s="234"/>
      <c r="P241" s="234"/>
      <c r="Q241" s="234"/>
      <c r="R241" s="234"/>
      <c r="S241" s="234"/>
      <c r="T241" s="234"/>
      <c r="U241" s="234"/>
      <c r="V241" s="218"/>
      <c r="W241" s="218"/>
      <c r="X241" s="218">
        <f>'Data in Local Currency'!X241*'Data in Local Currency'!G241</f>
        <v>0</v>
      </c>
      <c r="Y241" s="234"/>
      <c r="Z241" s="220"/>
      <c r="AA241" s="220"/>
      <c r="AB241" s="234"/>
      <c r="AC241" s="218"/>
      <c r="AD241" s="218"/>
      <c r="AE241" s="234"/>
      <c r="AF241" s="249"/>
      <c r="AG241" s="249"/>
      <c r="AH241" s="249"/>
      <c r="AI241" s="249"/>
      <c r="AJ241" s="249"/>
      <c r="AK241" s="249"/>
    </row>
    <row r="242" spans="2:37" ht="12" customHeight="1" x14ac:dyDescent="0.2">
      <c r="B242" s="214" t="s">
        <v>489</v>
      </c>
      <c r="C242" s="214" t="s">
        <v>430</v>
      </c>
      <c r="D242" s="232" t="s">
        <v>559</v>
      </c>
      <c r="E242" s="216" t="s">
        <v>199</v>
      </c>
      <c r="F242" s="216" t="s">
        <v>251</v>
      </c>
      <c r="G242" s="270">
        <v>1</v>
      </c>
      <c r="H242" s="265">
        <v>41506035</v>
      </c>
      <c r="I242" s="266"/>
      <c r="J242" s="225"/>
      <c r="K242" s="218"/>
      <c r="L242" s="218"/>
      <c r="M242" s="234"/>
      <c r="N242" s="225"/>
      <c r="O242" s="225"/>
      <c r="P242" s="234"/>
      <c r="Q242" s="234"/>
      <c r="R242" s="225">
        <f>'Data in Local Currency'!G242*'Data in Local Currency'!R242</f>
        <v>0</v>
      </c>
      <c r="S242" s="225">
        <f>'Data in Local Currency'!S242*'Data in Local Currency'!G242</f>
        <v>0</v>
      </c>
      <c r="T242" s="225">
        <f>'Data in Local Currency'!T242*'Data in Local Currency'!G242</f>
        <v>0</v>
      </c>
      <c r="U242" s="234"/>
      <c r="V242" s="218"/>
      <c r="W242" s="218"/>
      <c r="X242" s="218"/>
      <c r="Y242" s="234"/>
      <c r="Z242" s="218"/>
      <c r="AA242" s="218"/>
      <c r="AB242" s="225"/>
      <c r="AC242" s="220"/>
      <c r="AD242" s="220"/>
      <c r="AE242" s="234"/>
      <c r="AF242" s="250"/>
      <c r="AG242" s="250"/>
      <c r="AH242" s="250"/>
      <c r="AI242" s="250"/>
      <c r="AJ242" s="250"/>
      <c r="AK242" s="250"/>
    </row>
    <row r="243" spans="2:37" x14ac:dyDescent="0.2">
      <c r="B243" s="214" t="s">
        <v>489</v>
      </c>
      <c r="C243" s="214" t="s">
        <v>430</v>
      </c>
      <c r="D243" s="232" t="s">
        <v>506</v>
      </c>
      <c r="E243" s="216" t="s">
        <v>552</v>
      </c>
      <c r="F243" s="216" t="s">
        <v>251</v>
      </c>
      <c r="G243" s="270">
        <v>1</v>
      </c>
      <c r="H243" s="265">
        <v>69000000</v>
      </c>
      <c r="I243" s="266"/>
      <c r="J243" s="225"/>
      <c r="K243" s="218"/>
      <c r="L243" s="218"/>
      <c r="M243" s="234"/>
      <c r="N243" s="225"/>
      <c r="O243" s="225"/>
      <c r="P243" s="234"/>
      <c r="Q243" s="234"/>
      <c r="R243" s="225">
        <f>'Data in Local Currency'!G243*'Data in Local Currency'!R243</f>
        <v>0</v>
      </c>
      <c r="S243" s="225">
        <f>'Data in Local Currency'!S243*'Data in Local Currency'!G243</f>
        <v>0</v>
      </c>
      <c r="T243" s="225">
        <f>'Data in Local Currency'!T243*'Data in Local Currency'!G243</f>
        <v>0</v>
      </c>
      <c r="U243" s="234"/>
      <c r="V243" s="218"/>
      <c r="W243" s="218"/>
      <c r="X243" s="218"/>
      <c r="Y243" s="234"/>
      <c r="Z243" s="218"/>
      <c r="AA243" s="218"/>
      <c r="AB243" s="225"/>
      <c r="AC243" s="218"/>
      <c r="AD243" s="218"/>
      <c r="AE243" s="234"/>
      <c r="AF243" s="249"/>
      <c r="AG243" s="249"/>
      <c r="AH243" s="249"/>
      <c r="AI243" s="249"/>
      <c r="AJ243" s="249"/>
      <c r="AK243" s="249"/>
    </row>
    <row r="244" spans="2:37" x14ac:dyDescent="0.2">
      <c r="B244" s="214" t="s">
        <v>489</v>
      </c>
      <c r="C244" s="214" t="s">
        <v>430</v>
      </c>
      <c r="D244" s="232" t="s">
        <v>507</v>
      </c>
      <c r="E244" s="216" t="s">
        <v>199</v>
      </c>
      <c r="F244" s="216" t="s">
        <v>251</v>
      </c>
      <c r="G244" s="270">
        <v>1</v>
      </c>
      <c r="H244" s="265">
        <v>105200000</v>
      </c>
      <c r="I244" s="266"/>
      <c r="J244" s="225"/>
      <c r="K244" s="218"/>
      <c r="L244" s="218"/>
      <c r="M244" s="234"/>
      <c r="N244" s="225"/>
      <c r="O244" s="225"/>
      <c r="P244" s="234"/>
      <c r="Q244" s="234"/>
      <c r="R244" s="225">
        <f>'Data in Local Currency'!G244*'Data in Local Currency'!R244</f>
        <v>0</v>
      </c>
      <c r="S244" s="225">
        <f>'Data in Local Currency'!S244*'Data in Local Currency'!G244</f>
        <v>0</v>
      </c>
      <c r="T244" s="225">
        <f>'Data in Local Currency'!T244*'Data in Local Currency'!G244</f>
        <v>0</v>
      </c>
      <c r="U244" s="234"/>
      <c r="V244" s="218"/>
      <c r="W244" s="218"/>
      <c r="X244" s="218"/>
      <c r="Y244" s="234"/>
      <c r="Z244" s="218"/>
      <c r="AA244" s="218"/>
      <c r="AB244" s="225"/>
      <c r="AC244" s="218"/>
      <c r="AD244" s="218"/>
      <c r="AE244" s="234"/>
      <c r="AF244" s="249"/>
      <c r="AG244" s="249"/>
      <c r="AH244" s="249"/>
      <c r="AI244" s="249"/>
      <c r="AJ244" s="249"/>
      <c r="AK244" s="249"/>
    </row>
    <row r="245" spans="2:37" x14ac:dyDescent="0.2">
      <c r="B245" s="214" t="s">
        <v>489</v>
      </c>
      <c r="C245" s="214" t="s">
        <v>430</v>
      </c>
      <c r="D245" s="232" t="s">
        <v>508</v>
      </c>
      <c r="E245" s="216" t="s">
        <v>533</v>
      </c>
      <c r="F245" s="216" t="s">
        <v>251</v>
      </c>
      <c r="G245" s="270">
        <v>1</v>
      </c>
      <c r="H245" s="265">
        <v>69248241</v>
      </c>
      <c r="I245" s="266"/>
      <c r="J245" s="225"/>
      <c r="K245" s="218"/>
      <c r="L245" s="218"/>
      <c r="M245" s="234"/>
      <c r="N245" s="225"/>
      <c r="O245" s="225"/>
      <c r="P245" s="234"/>
      <c r="Q245" s="234"/>
      <c r="R245" s="225">
        <f>'Data in Local Currency'!G245*'Data in Local Currency'!R245</f>
        <v>0</v>
      </c>
      <c r="S245" s="225">
        <f>'Data in Local Currency'!S245*'Data in Local Currency'!G245</f>
        <v>0</v>
      </c>
      <c r="T245" s="225">
        <f>'Data in Local Currency'!T245*'Data in Local Currency'!G245</f>
        <v>0</v>
      </c>
      <c r="U245" s="234"/>
      <c r="V245" s="218"/>
      <c r="W245" s="218"/>
      <c r="X245" s="218"/>
      <c r="Y245" s="234"/>
      <c r="Z245" s="218"/>
      <c r="AA245" s="218"/>
      <c r="AB245" s="225"/>
      <c r="AC245" s="218"/>
      <c r="AD245" s="218"/>
      <c r="AE245" s="234"/>
      <c r="AF245" s="249"/>
      <c r="AG245" s="249"/>
      <c r="AH245" s="249"/>
      <c r="AI245" s="249"/>
      <c r="AJ245" s="249"/>
      <c r="AK245" s="249"/>
    </row>
    <row r="246" spans="2:37" ht="16.5" customHeight="1" x14ac:dyDescent="0.2">
      <c r="B246" s="214" t="s">
        <v>489</v>
      </c>
      <c r="C246" s="214" t="s">
        <v>430</v>
      </c>
      <c r="D246" s="244" t="s">
        <v>509</v>
      </c>
      <c r="E246" s="216" t="s">
        <v>199</v>
      </c>
      <c r="F246" s="216" t="s">
        <v>251</v>
      </c>
      <c r="G246" s="270">
        <v>1</v>
      </c>
      <c r="H246" s="265">
        <f>24632922*2</f>
        <v>49265844</v>
      </c>
      <c r="I246" s="266"/>
      <c r="J246" s="225"/>
      <c r="K246" s="218"/>
      <c r="L246" s="218"/>
      <c r="M246" s="234"/>
      <c r="N246" s="225"/>
      <c r="O246" s="225"/>
      <c r="P246" s="234"/>
      <c r="Q246" s="234"/>
      <c r="R246" s="225">
        <f>'Data in Local Currency'!G246*'Data in Local Currency'!R246</f>
        <v>0</v>
      </c>
      <c r="S246" s="225">
        <f>'Data in Local Currency'!S246*'Data in Local Currency'!G246</f>
        <v>0</v>
      </c>
      <c r="T246" s="225">
        <f>'Data in Local Currency'!T246*'Data in Local Currency'!G246</f>
        <v>0</v>
      </c>
      <c r="U246" s="234"/>
      <c r="V246" s="218"/>
      <c r="W246" s="218"/>
      <c r="X246" s="218"/>
      <c r="Y246" s="234"/>
      <c r="Z246" s="218"/>
      <c r="AA246" s="218"/>
      <c r="AB246" s="225"/>
      <c r="AC246" s="218"/>
      <c r="AD246" s="218"/>
      <c r="AE246" s="234"/>
      <c r="AF246" s="249"/>
      <c r="AG246" s="249"/>
      <c r="AH246" s="249"/>
      <c r="AI246" s="249"/>
      <c r="AJ246" s="249"/>
      <c r="AK246" s="249"/>
    </row>
    <row r="247" spans="2:37" x14ac:dyDescent="0.2">
      <c r="B247" s="214" t="s">
        <v>489</v>
      </c>
      <c r="C247" s="214" t="s">
        <v>430</v>
      </c>
      <c r="D247" s="232" t="s">
        <v>510</v>
      </c>
      <c r="E247" s="216" t="s">
        <v>199</v>
      </c>
      <c r="F247" s="216" t="s">
        <v>251</v>
      </c>
      <c r="G247" s="270">
        <v>1</v>
      </c>
      <c r="H247" s="265">
        <f>22220423*2</f>
        <v>44440846</v>
      </c>
      <c r="I247" s="266"/>
      <c r="J247" s="225"/>
      <c r="K247" s="218"/>
      <c r="L247" s="218"/>
      <c r="M247" s="234"/>
      <c r="N247" s="225"/>
      <c r="O247" s="225"/>
      <c r="P247" s="234"/>
      <c r="Q247" s="234"/>
      <c r="R247" s="225">
        <f>'Data in Local Currency'!G247*'Data in Local Currency'!R247</f>
        <v>0</v>
      </c>
      <c r="S247" s="225">
        <f>'Data in Local Currency'!S247*'Data in Local Currency'!G247</f>
        <v>0</v>
      </c>
      <c r="T247" s="225">
        <f>'Data in Local Currency'!T247*'Data in Local Currency'!G247</f>
        <v>0</v>
      </c>
      <c r="U247" s="234"/>
      <c r="V247" s="218"/>
      <c r="W247" s="218"/>
      <c r="X247" s="218"/>
      <c r="Y247" s="234"/>
      <c r="Z247" s="218"/>
      <c r="AA247" s="218"/>
      <c r="AB247" s="225"/>
      <c r="AC247" s="218"/>
      <c r="AD247" s="218"/>
      <c r="AE247" s="234"/>
      <c r="AF247" s="249"/>
      <c r="AG247" s="249"/>
      <c r="AH247" s="249"/>
      <c r="AI247" s="249"/>
      <c r="AJ247" s="249"/>
      <c r="AK247" s="249"/>
    </row>
    <row r="248" spans="2:37" x14ac:dyDescent="0.2">
      <c r="B248" s="214" t="s">
        <v>489</v>
      </c>
      <c r="C248" s="214" t="s">
        <v>430</v>
      </c>
      <c r="D248" s="232" t="s">
        <v>560</v>
      </c>
      <c r="E248" s="216" t="s">
        <v>199</v>
      </c>
      <c r="F248" s="216" t="s">
        <v>251</v>
      </c>
      <c r="G248" s="270">
        <v>1</v>
      </c>
      <c r="H248" s="265">
        <f>22218915*2</f>
        <v>44437830</v>
      </c>
      <c r="I248" s="266"/>
      <c r="J248" s="225"/>
      <c r="K248" s="218"/>
      <c r="L248" s="218"/>
      <c r="M248" s="234"/>
      <c r="N248" s="225"/>
      <c r="O248" s="225"/>
      <c r="P248" s="234"/>
      <c r="Q248" s="234"/>
      <c r="R248" s="225">
        <f>'Data in Local Currency'!G248*'Data in Local Currency'!R248</f>
        <v>0</v>
      </c>
      <c r="S248" s="225">
        <f>'Data in Local Currency'!S248*'Data in Local Currency'!G248</f>
        <v>0</v>
      </c>
      <c r="T248" s="225">
        <f>'Data in Local Currency'!T248*'Data in Local Currency'!G248</f>
        <v>0</v>
      </c>
      <c r="U248" s="234"/>
      <c r="V248" s="218"/>
      <c r="W248" s="218"/>
      <c r="X248" s="218"/>
      <c r="Y248" s="234"/>
      <c r="Z248" s="218"/>
      <c r="AA248" s="218"/>
      <c r="AB248" s="225"/>
      <c r="AC248" s="218"/>
      <c r="AD248" s="218"/>
      <c r="AE248" s="234"/>
      <c r="AF248" s="249"/>
      <c r="AG248" s="249"/>
      <c r="AH248" s="249"/>
      <c r="AI248" s="249"/>
      <c r="AJ248" s="249"/>
      <c r="AK248" s="249"/>
    </row>
    <row r="249" spans="2:37" x14ac:dyDescent="0.2">
      <c r="B249" s="214" t="s">
        <v>489</v>
      </c>
      <c r="C249" s="214" t="s">
        <v>430</v>
      </c>
      <c r="D249" s="232" t="s">
        <v>511</v>
      </c>
      <c r="E249" s="216" t="s">
        <v>527</v>
      </c>
      <c r="F249" s="216" t="s">
        <v>251</v>
      </c>
      <c r="G249" s="270">
        <v>1</v>
      </c>
      <c r="H249" s="265">
        <f>23018686*2</f>
        <v>46037372</v>
      </c>
      <c r="I249" s="266"/>
      <c r="J249" s="225"/>
      <c r="K249" s="218"/>
      <c r="L249" s="218"/>
      <c r="M249" s="234"/>
      <c r="N249" s="225"/>
      <c r="O249" s="225"/>
      <c r="P249" s="234"/>
      <c r="Q249" s="234"/>
      <c r="R249" s="225">
        <f>'Data in Local Currency'!G249*'Data in Local Currency'!R249</f>
        <v>0</v>
      </c>
      <c r="S249" s="225">
        <f>'Data in Local Currency'!S249*'Data in Local Currency'!G249</f>
        <v>0</v>
      </c>
      <c r="T249" s="225">
        <f>'Data in Local Currency'!T249*'Data in Local Currency'!G249</f>
        <v>0</v>
      </c>
      <c r="U249" s="234"/>
      <c r="V249" s="218"/>
      <c r="W249" s="218"/>
      <c r="X249" s="218"/>
      <c r="Y249" s="234"/>
      <c r="Z249" s="218"/>
      <c r="AA249" s="218"/>
      <c r="AB249" s="225"/>
      <c r="AC249" s="218"/>
      <c r="AD249" s="218"/>
      <c r="AE249" s="234"/>
      <c r="AF249" s="250"/>
      <c r="AG249" s="250"/>
      <c r="AH249" s="250"/>
      <c r="AI249" s="250"/>
      <c r="AJ249" s="250"/>
      <c r="AK249" s="250"/>
    </row>
    <row r="250" spans="2:37" x14ac:dyDescent="0.2">
      <c r="B250" s="214" t="s">
        <v>489</v>
      </c>
      <c r="C250" s="214" t="s">
        <v>430</v>
      </c>
      <c r="D250" s="232" t="s">
        <v>561</v>
      </c>
      <c r="E250" s="216" t="s">
        <v>527</v>
      </c>
      <c r="F250" s="216" t="s">
        <v>251</v>
      </c>
      <c r="G250" s="270">
        <v>1</v>
      </c>
      <c r="H250" s="265">
        <v>37000000</v>
      </c>
      <c r="I250" s="266"/>
      <c r="J250" s="225"/>
      <c r="K250" s="218"/>
      <c r="L250" s="218"/>
      <c r="M250" s="234"/>
      <c r="N250" s="225"/>
      <c r="O250" s="225"/>
      <c r="P250" s="234"/>
      <c r="Q250" s="234"/>
      <c r="R250" s="225">
        <f>'Data in Local Currency'!G250*'Data in Local Currency'!R250</f>
        <v>0</v>
      </c>
      <c r="S250" s="225">
        <f>'Data in Local Currency'!S250*'Data in Local Currency'!G250</f>
        <v>0</v>
      </c>
      <c r="T250" s="225">
        <f>'Data in Local Currency'!T250*'Data in Local Currency'!G250</f>
        <v>0</v>
      </c>
      <c r="U250" s="234"/>
      <c r="V250" s="218"/>
      <c r="W250" s="218"/>
      <c r="X250" s="218"/>
      <c r="Y250" s="234"/>
      <c r="Z250" s="218"/>
      <c r="AA250" s="218"/>
      <c r="AB250" s="225"/>
      <c r="AC250" s="218"/>
      <c r="AD250" s="218"/>
      <c r="AE250" s="234"/>
      <c r="AF250" s="249"/>
      <c r="AG250" s="249"/>
      <c r="AH250" s="249"/>
      <c r="AI250" s="249"/>
      <c r="AJ250" s="249"/>
      <c r="AK250" s="249"/>
    </row>
    <row r="251" spans="2:37" x14ac:dyDescent="0.2">
      <c r="B251" s="214" t="s">
        <v>489</v>
      </c>
      <c r="C251" s="214" t="s">
        <v>430</v>
      </c>
      <c r="D251" s="232" t="s">
        <v>512</v>
      </c>
      <c r="E251" s="216" t="s">
        <v>552</v>
      </c>
      <c r="F251" s="216" t="s">
        <v>251</v>
      </c>
      <c r="G251" s="270">
        <v>1</v>
      </c>
      <c r="H251" s="265">
        <f>17658435*2</f>
        <v>35316870</v>
      </c>
      <c r="I251" s="266"/>
      <c r="J251" s="225"/>
      <c r="K251" s="218"/>
      <c r="L251" s="218"/>
      <c r="M251" s="234"/>
      <c r="N251" s="225"/>
      <c r="O251" s="225"/>
      <c r="P251" s="234"/>
      <c r="Q251" s="234"/>
      <c r="R251" s="225">
        <f>'Data in Local Currency'!G251*'Data in Local Currency'!R251</f>
        <v>0</v>
      </c>
      <c r="S251" s="225">
        <f>'Data in Local Currency'!S251*'Data in Local Currency'!G251</f>
        <v>0</v>
      </c>
      <c r="T251" s="225">
        <f>'Data in Local Currency'!T251*'Data in Local Currency'!G251</f>
        <v>0</v>
      </c>
      <c r="U251" s="234"/>
      <c r="V251" s="218"/>
      <c r="W251" s="218"/>
      <c r="X251" s="218"/>
      <c r="Y251" s="234"/>
      <c r="Z251" s="218"/>
      <c r="AA251" s="218"/>
      <c r="AB251" s="225"/>
      <c r="AC251" s="218"/>
      <c r="AD251" s="218"/>
      <c r="AE251" s="234"/>
      <c r="AF251" s="250"/>
      <c r="AG251" s="250"/>
      <c r="AH251" s="250"/>
      <c r="AI251" s="250"/>
      <c r="AJ251" s="250"/>
      <c r="AK251" s="250"/>
    </row>
    <row r="252" spans="2:37" x14ac:dyDescent="0.2">
      <c r="B252" s="214" t="s">
        <v>489</v>
      </c>
      <c r="C252" s="214" t="s">
        <v>430</v>
      </c>
      <c r="D252" s="232" t="s">
        <v>513</v>
      </c>
      <c r="E252" s="216" t="s">
        <v>552</v>
      </c>
      <c r="F252" s="216" t="s">
        <v>251</v>
      </c>
      <c r="G252" s="270">
        <v>1</v>
      </c>
      <c r="H252" s="265">
        <v>8137244</v>
      </c>
      <c r="I252" s="266"/>
      <c r="J252" s="225"/>
      <c r="K252" s="218"/>
      <c r="L252" s="218"/>
      <c r="M252" s="234"/>
      <c r="N252" s="225"/>
      <c r="O252" s="225"/>
      <c r="P252" s="234"/>
      <c r="Q252" s="234"/>
      <c r="R252" s="225">
        <f>'Data in Local Currency'!G252*'Data in Local Currency'!R252</f>
        <v>0</v>
      </c>
      <c r="S252" s="225">
        <f>'Data in Local Currency'!S252*'Data in Local Currency'!G252</f>
        <v>0</v>
      </c>
      <c r="T252" s="225">
        <f>'Data in Local Currency'!T252*'Data in Local Currency'!G252</f>
        <v>0</v>
      </c>
      <c r="U252" s="234"/>
      <c r="V252" s="218"/>
      <c r="W252" s="218"/>
      <c r="X252" s="218"/>
      <c r="Y252" s="234"/>
      <c r="Z252" s="218"/>
      <c r="AA252" s="218"/>
      <c r="AB252" s="234"/>
      <c r="AC252" s="218"/>
      <c r="AD252" s="218"/>
      <c r="AE252" s="234"/>
      <c r="AF252" s="249"/>
      <c r="AG252" s="249"/>
      <c r="AH252" s="249"/>
      <c r="AI252" s="249"/>
      <c r="AJ252" s="249"/>
      <c r="AK252" s="249"/>
    </row>
    <row r="253" spans="2:37" x14ac:dyDescent="0.2">
      <c r="B253" s="214" t="s">
        <v>489</v>
      </c>
      <c r="C253" s="214" t="s">
        <v>430</v>
      </c>
      <c r="D253" s="232" t="s">
        <v>514</v>
      </c>
      <c r="E253" s="216" t="s">
        <v>199</v>
      </c>
      <c r="F253" s="216" t="s">
        <v>251</v>
      </c>
      <c r="G253" s="270">
        <v>1</v>
      </c>
      <c r="H253" s="265">
        <f>23075044*2</f>
        <v>46150088</v>
      </c>
      <c r="I253" s="266"/>
      <c r="J253" s="225"/>
      <c r="K253" s="218"/>
      <c r="L253" s="218"/>
      <c r="M253" s="234"/>
      <c r="N253" s="225"/>
      <c r="O253" s="225"/>
      <c r="P253" s="234"/>
      <c r="Q253" s="234"/>
      <c r="R253" s="225">
        <f>'Data in Local Currency'!G253*'Data in Local Currency'!R253</f>
        <v>0</v>
      </c>
      <c r="S253" s="225">
        <f>'Data in Local Currency'!S253*'Data in Local Currency'!G253</f>
        <v>0</v>
      </c>
      <c r="T253" s="225">
        <f>'Data in Local Currency'!T253*'Data in Local Currency'!G253</f>
        <v>0</v>
      </c>
      <c r="U253" s="234"/>
      <c r="V253" s="218"/>
      <c r="W253" s="218"/>
      <c r="X253" s="218"/>
      <c r="Y253" s="234"/>
      <c r="Z253" s="218"/>
      <c r="AA253" s="218"/>
      <c r="AB253" s="225"/>
      <c r="AC253" s="218"/>
      <c r="AD253" s="218"/>
      <c r="AE253" s="234"/>
      <c r="AF253" s="250"/>
      <c r="AG253" s="250"/>
      <c r="AH253" s="250"/>
      <c r="AI253" s="250"/>
      <c r="AJ253" s="250"/>
      <c r="AK253" s="250"/>
    </row>
    <row r="254" spans="2:37" ht="15" customHeight="1" x14ac:dyDescent="0.2">
      <c r="B254" s="214" t="s">
        <v>489</v>
      </c>
      <c r="C254" s="214" t="s">
        <v>430</v>
      </c>
      <c r="D254" s="232" t="s">
        <v>515</v>
      </c>
      <c r="E254" s="216" t="s">
        <v>527</v>
      </c>
      <c r="F254" s="216" t="s">
        <v>251</v>
      </c>
      <c r="G254" s="270">
        <v>1</v>
      </c>
      <c r="H254" s="265">
        <f>375463*2</f>
        <v>750926</v>
      </c>
      <c r="I254" s="266"/>
      <c r="J254" s="225"/>
      <c r="K254" s="218"/>
      <c r="L254" s="218"/>
      <c r="M254" s="234"/>
      <c r="N254" s="225"/>
      <c r="O254" s="225"/>
      <c r="P254" s="234"/>
      <c r="Q254" s="234"/>
      <c r="R254" s="234"/>
      <c r="S254" s="225">
        <f>'Data in Local Currency'!S254*'Data in Local Currency'!G254</f>
        <v>0</v>
      </c>
      <c r="T254" s="225">
        <f>'Data in Local Currency'!T254*'Data in Local Currency'!G254</f>
        <v>0</v>
      </c>
      <c r="U254" s="234"/>
      <c r="V254" s="218"/>
      <c r="W254" s="218"/>
      <c r="X254" s="218"/>
      <c r="Y254" s="234"/>
      <c r="Z254" s="218"/>
      <c r="AA254" s="218"/>
      <c r="AB254" s="225"/>
      <c r="AC254" s="218"/>
      <c r="AD254" s="218"/>
      <c r="AE254" s="234"/>
      <c r="AF254" s="250"/>
      <c r="AG254" s="250"/>
      <c r="AH254" s="250"/>
      <c r="AI254" s="250"/>
      <c r="AJ254" s="250"/>
      <c r="AK254" s="250"/>
    </row>
    <row r="255" spans="2:37" ht="14.25" customHeight="1" x14ac:dyDescent="0.2">
      <c r="B255" s="214" t="s">
        <v>489</v>
      </c>
      <c r="C255" s="214" t="s">
        <v>430</v>
      </c>
      <c r="D255" s="232" t="s">
        <v>516</v>
      </c>
      <c r="E255" s="216" t="s">
        <v>552</v>
      </c>
      <c r="F255" s="216" t="s">
        <v>251</v>
      </c>
      <c r="G255" s="270">
        <v>1</v>
      </c>
      <c r="H255" s="265">
        <f>10519247*2</f>
        <v>21038494</v>
      </c>
      <c r="I255" s="266"/>
      <c r="J255" s="225"/>
      <c r="K255" s="218"/>
      <c r="L255" s="218"/>
      <c r="M255" s="234"/>
      <c r="N255" s="225"/>
      <c r="O255" s="225"/>
      <c r="P255" s="234"/>
      <c r="Q255" s="234"/>
      <c r="R255" s="225">
        <f>'Data in Local Currency'!G255*'Data in Local Currency'!R255</f>
        <v>0</v>
      </c>
      <c r="S255" s="225">
        <f>'Data in Local Currency'!S255*'Data in Local Currency'!G255</f>
        <v>0</v>
      </c>
      <c r="T255" s="225">
        <f>'Data in Local Currency'!T255*'Data in Local Currency'!G255</f>
        <v>0</v>
      </c>
      <c r="U255" s="234"/>
      <c r="V255" s="218"/>
      <c r="W255" s="218"/>
      <c r="X255" s="218"/>
      <c r="Y255" s="234"/>
      <c r="Z255" s="218"/>
      <c r="AA255" s="218"/>
      <c r="AB255" s="225"/>
      <c r="AC255" s="218"/>
      <c r="AD255" s="218"/>
      <c r="AE255" s="234"/>
      <c r="AF255" s="249"/>
      <c r="AG255" s="249"/>
      <c r="AH255" s="249"/>
      <c r="AI255" s="249"/>
      <c r="AJ255" s="249"/>
      <c r="AK255" s="249"/>
    </row>
    <row r="256" spans="2:37" x14ac:dyDescent="0.2">
      <c r="B256" s="214" t="s">
        <v>489</v>
      </c>
      <c r="C256" s="214" t="s">
        <v>430</v>
      </c>
      <c r="D256" s="232" t="s">
        <v>517</v>
      </c>
      <c r="E256" s="216" t="s">
        <v>96</v>
      </c>
      <c r="F256" s="216" t="s">
        <v>251</v>
      </c>
      <c r="G256" s="270">
        <v>1</v>
      </c>
      <c r="H256" s="265">
        <f>1818676*2</f>
        <v>3637352</v>
      </c>
      <c r="I256" s="266"/>
      <c r="J256" s="225"/>
      <c r="K256" s="218"/>
      <c r="L256" s="218"/>
      <c r="M256" s="234"/>
      <c r="N256" s="225"/>
      <c r="O256" s="225"/>
      <c r="P256" s="234"/>
      <c r="Q256" s="234"/>
      <c r="R256" s="225">
        <f>'Data in Local Currency'!G256*'Data in Local Currency'!R256</f>
        <v>0</v>
      </c>
      <c r="S256" s="225">
        <f>'Data in Local Currency'!S256*'Data in Local Currency'!G256</f>
        <v>0</v>
      </c>
      <c r="T256" s="225">
        <f>'Data in Local Currency'!T256*'Data in Local Currency'!G256</f>
        <v>0</v>
      </c>
      <c r="U256" s="234"/>
      <c r="V256" s="218"/>
      <c r="W256" s="218"/>
      <c r="X256" s="218"/>
      <c r="Y256" s="234"/>
      <c r="Z256" s="218"/>
      <c r="AA256" s="218"/>
      <c r="AB256" s="225"/>
      <c r="AC256" s="218"/>
      <c r="AD256" s="218"/>
      <c r="AE256" s="234"/>
      <c r="AF256" s="250"/>
      <c r="AG256" s="234"/>
      <c r="AH256" s="250"/>
      <c r="AI256" s="250"/>
      <c r="AJ256" s="250"/>
      <c r="AK256" s="250"/>
    </row>
    <row r="257" spans="9:37" x14ac:dyDescent="0.2">
      <c r="K257" s="178"/>
      <c r="M257" s="173"/>
      <c r="N257" s="173"/>
      <c r="O257" s="173"/>
      <c r="P257" s="173"/>
      <c r="Q257" s="173"/>
      <c r="R257" s="173"/>
      <c r="S257" s="173"/>
      <c r="T257" s="173"/>
      <c r="U257" s="173"/>
      <c r="V257" s="173"/>
      <c r="W257" s="173"/>
      <c r="X257" s="173"/>
      <c r="Y257" s="173"/>
      <c r="Z257" s="184"/>
      <c r="AA257" s="173"/>
      <c r="AB257" s="173"/>
      <c r="AC257" s="173"/>
      <c r="AD257" s="173"/>
      <c r="AE257" s="173"/>
      <c r="AF257" s="173"/>
      <c r="AG257" s="173"/>
      <c r="AH257" s="173"/>
      <c r="AI257" s="173"/>
      <c r="AJ257" s="173"/>
      <c r="AK257" s="173"/>
    </row>
    <row r="258" spans="9:37" x14ac:dyDescent="0.2">
      <c r="I258" s="177" t="s">
        <v>0</v>
      </c>
      <c r="K258" s="178"/>
      <c r="M258" s="173"/>
      <c r="N258" s="173"/>
      <c r="O258" s="173"/>
      <c r="P258" s="173"/>
      <c r="Q258" s="173"/>
      <c r="R258" s="173"/>
      <c r="S258" s="173"/>
      <c r="T258" s="173"/>
      <c r="U258" s="173"/>
      <c r="V258" s="173"/>
      <c r="W258" s="173"/>
      <c r="X258" s="173"/>
      <c r="Y258" s="173"/>
      <c r="Z258" s="179"/>
      <c r="AA258" s="173"/>
      <c r="AB258" s="173"/>
      <c r="AC258" s="173"/>
      <c r="AD258" s="173"/>
      <c r="AE258" s="173"/>
      <c r="AF258" s="173"/>
      <c r="AG258" s="173"/>
      <c r="AH258" s="173"/>
      <c r="AI258" s="173"/>
      <c r="AJ258" s="173"/>
      <c r="AK258" s="173"/>
    </row>
    <row r="259" spans="9:37" x14ac:dyDescent="0.2">
      <c r="K259" s="178"/>
      <c r="M259" s="173"/>
      <c r="N259" s="173"/>
      <c r="O259" s="173"/>
      <c r="P259" s="173"/>
      <c r="Q259" s="173"/>
      <c r="R259" s="173"/>
      <c r="S259" s="173"/>
      <c r="T259" s="173"/>
      <c r="U259" s="173"/>
      <c r="V259" s="173"/>
      <c r="W259" s="173"/>
      <c r="X259" s="173"/>
      <c r="Y259" s="173"/>
      <c r="Z259" s="179"/>
      <c r="AA259" s="173"/>
      <c r="AB259" s="173"/>
      <c r="AC259" s="173"/>
      <c r="AD259" s="173"/>
      <c r="AE259" s="173"/>
      <c r="AF259" s="173"/>
      <c r="AG259" s="173"/>
      <c r="AH259" s="173"/>
      <c r="AI259" s="173"/>
      <c r="AJ259" s="173"/>
      <c r="AK259" s="173"/>
    </row>
    <row r="260" spans="9:37" x14ac:dyDescent="0.2">
      <c r="J260" s="174" t="s">
        <v>6</v>
      </c>
      <c r="K260" s="178"/>
      <c r="M260" s="173"/>
      <c r="N260" s="173"/>
      <c r="O260" s="173"/>
      <c r="P260" s="173"/>
      <c r="Q260" s="173"/>
      <c r="R260" s="173"/>
      <c r="S260" s="173"/>
      <c r="T260" s="173"/>
      <c r="U260" s="173"/>
      <c r="V260" s="173"/>
      <c r="W260" s="173"/>
      <c r="X260" s="173"/>
      <c r="Y260" s="173"/>
      <c r="Z260" s="179"/>
      <c r="AA260" s="173"/>
      <c r="AB260" s="173"/>
      <c r="AC260" s="173"/>
      <c r="AD260" s="173"/>
      <c r="AE260" s="173"/>
      <c r="AF260" s="173"/>
      <c r="AG260" s="173"/>
      <c r="AH260" s="173"/>
      <c r="AI260" s="173"/>
      <c r="AJ260" s="173"/>
      <c r="AK260" s="173"/>
    </row>
    <row r="261" spans="9:37" x14ac:dyDescent="0.2">
      <c r="K261" s="178"/>
      <c r="M261" s="173"/>
      <c r="N261" s="173"/>
      <c r="O261" s="173"/>
      <c r="P261" s="173"/>
      <c r="Q261" s="173"/>
      <c r="R261" s="173"/>
      <c r="S261" s="173"/>
      <c r="T261" s="173"/>
      <c r="U261" s="173"/>
      <c r="V261" s="173"/>
      <c r="W261" s="173"/>
      <c r="X261" s="173"/>
      <c r="Y261" s="173"/>
      <c r="Z261" s="179"/>
      <c r="AA261" s="173"/>
      <c r="AB261" s="173"/>
      <c r="AC261" s="173"/>
      <c r="AD261" s="173"/>
      <c r="AE261" s="173"/>
      <c r="AF261" s="173"/>
      <c r="AG261" s="173"/>
      <c r="AH261" s="173"/>
      <c r="AI261" s="173"/>
      <c r="AJ261" s="173"/>
      <c r="AK261" s="173"/>
    </row>
    <row r="262" spans="9:37" x14ac:dyDescent="0.2">
      <c r="K262" s="178"/>
      <c r="M262" s="173"/>
      <c r="N262" s="173"/>
      <c r="O262" s="173"/>
      <c r="P262" s="183"/>
      <c r="Q262" s="173"/>
      <c r="R262" s="173"/>
      <c r="S262" s="173"/>
      <c r="T262" s="173"/>
      <c r="U262" s="173"/>
      <c r="V262" s="173"/>
      <c r="W262" s="173" t="s">
        <v>0</v>
      </c>
      <c r="X262" s="173"/>
      <c r="Y262" s="173"/>
      <c r="Z262" s="179"/>
      <c r="AA262" s="173"/>
      <c r="AB262" s="173"/>
      <c r="AC262" s="173"/>
      <c r="AD262" s="173"/>
      <c r="AE262" s="173"/>
      <c r="AF262" s="173"/>
      <c r="AG262" s="173"/>
      <c r="AH262" s="173"/>
      <c r="AI262" s="173"/>
      <c r="AJ262" s="173"/>
      <c r="AK262" s="173"/>
    </row>
    <row r="263" spans="9:37" x14ac:dyDescent="0.2">
      <c r="K263" s="178"/>
      <c r="M263" s="173"/>
      <c r="N263" s="173"/>
      <c r="O263" s="173"/>
      <c r="P263" s="173"/>
      <c r="Q263" s="173"/>
      <c r="R263" s="173"/>
      <c r="S263" s="173"/>
      <c r="T263" s="173"/>
      <c r="U263" s="173"/>
      <c r="V263" s="173"/>
      <c r="W263" s="173"/>
      <c r="X263" s="173"/>
      <c r="Y263" s="173"/>
      <c r="Z263" s="179"/>
      <c r="AA263" s="173"/>
      <c r="AB263" s="173"/>
      <c r="AC263" s="173"/>
      <c r="AD263" s="173"/>
      <c r="AE263" s="173"/>
      <c r="AF263" s="173"/>
      <c r="AG263" s="173"/>
      <c r="AH263" s="173"/>
      <c r="AI263" s="173"/>
      <c r="AJ263" s="173"/>
      <c r="AK263" s="173"/>
    </row>
    <row r="264" spans="9:37" x14ac:dyDescent="0.2">
      <c r="K264" s="178"/>
      <c r="M264" s="173"/>
      <c r="N264" s="173"/>
      <c r="O264" s="173"/>
      <c r="P264" s="173"/>
      <c r="Q264" s="173"/>
      <c r="R264" s="173"/>
      <c r="S264" s="173"/>
      <c r="T264" s="173"/>
      <c r="U264" s="173"/>
      <c r="V264" s="173"/>
      <c r="W264" s="173"/>
      <c r="X264" s="173"/>
      <c r="Y264" s="173"/>
      <c r="Z264" s="179"/>
      <c r="AA264" s="173"/>
      <c r="AB264" s="173"/>
      <c r="AC264" s="173"/>
      <c r="AD264" s="173"/>
      <c r="AE264" s="173"/>
      <c r="AF264" s="173"/>
      <c r="AG264" s="173"/>
      <c r="AH264" s="173"/>
      <c r="AI264" s="173"/>
      <c r="AJ264" s="173"/>
      <c r="AK264" s="173"/>
    </row>
    <row r="265" spans="9:37" x14ac:dyDescent="0.2">
      <c r="K265" s="178"/>
      <c r="M265" s="173"/>
      <c r="N265" s="173"/>
      <c r="O265" s="173"/>
      <c r="P265" s="173"/>
      <c r="Q265" s="173"/>
      <c r="R265" s="173"/>
      <c r="S265" s="173"/>
      <c r="T265" s="173"/>
      <c r="U265" s="173"/>
      <c r="V265" s="173"/>
      <c r="W265" s="173"/>
      <c r="X265" s="173"/>
      <c r="Y265" s="173"/>
      <c r="Z265" s="179"/>
      <c r="AA265" s="173"/>
      <c r="AB265" s="173"/>
      <c r="AC265" s="173"/>
      <c r="AD265" s="173"/>
      <c r="AE265" s="173"/>
      <c r="AF265" s="173"/>
      <c r="AG265" s="173"/>
      <c r="AH265" s="173"/>
      <c r="AI265" s="173"/>
      <c r="AJ265" s="173"/>
      <c r="AK265" s="173"/>
    </row>
    <row r="266" spans="9:37" x14ac:dyDescent="0.2">
      <c r="K266" s="178" t="s">
        <v>0</v>
      </c>
      <c r="M266" s="173"/>
      <c r="N266" s="173"/>
      <c r="O266" s="173"/>
      <c r="P266" s="173"/>
      <c r="Q266" s="173"/>
      <c r="R266" s="173"/>
      <c r="S266" s="173"/>
      <c r="T266" s="173"/>
      <c r="U266" s="173"/>
      <c r="V266" s="173"/>
      <c r="W266" s="173"/>
      <c r="X266" s="173"/>
      <c r="Y266" s="173"/>
      <c r="Z266" s="179"/>
      <c r="AA266" s="173"/>
      <c r="AB266" s="173"/>
      <c r="AC266" s="173"/>
      <c r="AD266" s="173"/>
      <c r="AE266" s="173"/>
      <c r="AF266" s="173"/>
      <c r="AG266" s="173"/>
      <c r="AH266" s="173"/>
      <c r="AI266" s="173"/>
      <c r="AJ266" s="173"/>
      <c r="AK266" s="173"/>
    </row>
    <row r="267" spans="9:37" x14ac:dyDescent="0.2">
      <c r="M267" s="173"/>
      <c r="N267" s="173"/>
      <c r="O267" s="173"/>
      <c r="P267" s="173"/>
      <c r="Q267" s="173"/>
      <c r="R267" s="173"/>
      <c r="S267" s="173"/>
      <c r="T267" s="173"/>
      <c r="U267" s="173"/>
      <c r="V267" s="173"/>
      <c r="W267" s="173"/>
      <c r="X267" s="173"/>
      <c r="Y267" s="173"/>
      <c r="Z267" s="179"/>
      <c r="AA267" s="173"/>
      <c r="AB267" s="173"/>
      <c r="AC267" s="173"/>
      <c r="AD267" s="173"/>
      <c r="AE267" s="173"/>
      <c r="AF267" s="173"/>
      <c r="AG267" s="173"/>
      <c r="AH267" s="173"/>
      <c r="AI267" s="173"/>
      <c r="AJ267" s="173"/>
      <c r="AK267" s="173"/>
    </row>
    <row r="268" spans="9:37" x14ac:dyDescent="0.2">
      <c r="M268" s="173"/>
      <c r="N268" s="173"/>
      <c r="O268" s="173"/>
      <c r="P268" s="173"/>
      <c r="Q268" s="173"/>
      <c r="R268" s="173"/>
      <c r="S268" s="173"/>
      <c r="T268" s="173"/>
      <c r="U268" s="173"/>
      <c r="V268" s="173"/>
      <c r="W268" s="173"/>
      <c r="X268" s="173"/>
      <c r="Y268" s="173"/>
      <c r="Z268" s="179"/>
      <c r="AA268" s="173"/>
      <c r="AB268" s="173"/>
      <c r="AC268" s="173"/>
      <c r="AD268" s="173"/>
      <c r="AE268" s="173"/>
      <c r="AF268" s="173"/>
      <c r="AG268" s="173"/>
      <c r="AH268" s="173"/>
      <c r="AI268" s="173"/>
      <c r="AJ268" s="173"/>
      <c r="AK268" s="173"/>
    </row>
    <row r="269" spans="9:37" x14ac:dyDescent="0.2">
      <c r="M269" s="173"/>
      <c r="N269" s="173"/>
      <c r="O269" s="173"/>
      <c r="P269" s="173"/>
      <c r="Q269" s="173"/>
      <c r="R269" s="173"/>
      <c r="S269" s="173"/>
      <c r="T269" s="173"/>
      <c r="U269" s="173"/>
      <c r="V269" s="173"/>
      <c r="W269" s="173"/>
      <c r="X269" s="173"/>
      <c r="Y269" s="173"/>
      <c r="Z269" s="179"/>
      <c r="AA269" s="173"/>
      <c r="AB269" s="173"/>
      <c r="AC269" s="173"/>
      <c r="AD269" s="173"/>
      <c r="AE269" s="173"/>
      <c r="AF269" s="173"/>
      <c r="AG269" s="173"/>
      <c r="AH269" s="173"/>
      <c r="AI269" s="173"/>
      <c r="AJ269" s="173"/>
      <c r="AK269" s="173"/>
    </row>
    <row r="270" spans="9:37" x14ac:dyDescent="0.2">
      <c r="M270" s="173"/>
      <c r="N270" s="173"/>
      <c r="O270" s="173"/>
      <c r="P270" s="173"/>
      <c r="Q270" s="173"/>
      <c r="R270" s="173"/>
      <c r="S270" s="173"/>
      <c r="T270" s="173"/>
      <c r="U270" s="173"/>
      <c r="V270" s="173"/>
      <c r="W270" s="173"/>
      <c r="X270" s="173"/>
      <c r="Y270" s="173"/>
      <c r="Z270" s="179"/>
      <c r="AA270" s="173"/>
      <c r="AB270" s="173"/>
      <c r="AC270" s="173"/>
      <c r="AD270" s="173"/>
      <c r="AE270" s="173"/>
      <c r="AF270" s="173"/>
      <c r="AG270" s="173"/>
      <c r="AH270" s="173"/>
      <c r="AI270" s="173"/>
      <c r="AJ270" s="173"/>
      <c r="AK270" s="173"/>
    </row>
    <row r="271" spans="9:37" x14ac:dyDescent="0.2">
      <c r="M271" s="173"/>
      <c r="N271" s="173"/>
      <c r="O271" s="173"/>
      <c r="P271" s="173"/>
      <c r="Q271" s="173"/>
      <c r="R271" s="173"/>
      <c r="S271" s="173"/>
      <c r="T271" s="173"/>
      <c r="U271" s="173"/>
      <c r="V271" s="173"/>
      <c r="W271" s="173"/>
      <c r="X271" s="173"/>
      <c r="Y271" s="173"/>
      <c r="Z271" s="179"/>
      <c r="AA271" s="173"/>
      <c r="AB271" s="173"/>
      <c r="AC271" s="173"/>
      <c r="AD271" s="173"/>
      <c r="AE271" s="173"/>
      <c r="AF271" s="173"/>
      <c r="AG271" s="173"/>
      <c r="AH271" s="173"/>
      <c r="AI271" s="173"/>
      <c r="AJ271" s="173"/>
      <c r="AK271" s="173"/>
    </row>
    <row r="272" spans="9:37" x14ac:dyDescent="0.2">
      <c r="M272" s="173"/>
      <c r="N272" s="173"/>
      <c r="O272" s="173"/>
      <c r="P272" s="173"/>
      <c r="Q272" s="173"/>
      <c r="R272" s="173"/>
      <c r="S272" s="173"/>
      <c r="T272" s="173"/>
      <c r="U272" s="173"/>
      <c r="V272" s="173"/>
      <c r="W272" s="173"/>
      <c r="X272" s="173"/>
      <c r="Y272" s="173"/>
      <c r="Z272" s="179"/>
      <c r="AA272" s="173"/>
      <c r="AB272" s="173"/>
      <c r="AC272" s="173"/>
      <c r="AD272" s="173"/>
      <c r="AE272" s="173"/>
      <c r="AF272" s="173"/>
      <c r="AG272" s="173"/>
      <c r="AH272" s="173"/>
      <c r="AI272" s="173"/>
      <c r="AJ272" s="173"/>
      <c r="AK272" s="173"/>
    </row>
    <row r="273" spans="13:37" x14ac:dyDescent="0.2">
      <c r="M273" s="173"/>
      <c r="N273" s="173"/>
      <c r="O273" s="173"/>
      <c r="P273" s="173"/>
      <c r="Q273" s="173"/>
      <c r="R273" s="173"/>
      <c r="S273" s="173"/>
      <c r="T273" s="173"/>
      <c r="U273" s="173"/>
      <c r="V273" s="173"/>
      <c r="W273" s="173"/>
      <c r="X273" s="173"/>
      <c r="Y273" s="173"/>
      <c r="Z273" s="179"/>
      <c r="AA273" s="173"/>
      <c r="AB273" s="173"/>
      <c r="AC273" s="173"/>
      <c r="AD273" s="173"/>
      <c r="AE273" s="173"/>
      <c r="AF273" s="173"/>
      <c r="AG273" s="173"/>
      <c r="AH273" s="173"/>
      <c r="AI273" s="173"/>
      <c r="AJ273" s="173"/>
      <c r="AK273" s="173"/>
    </row>
    <row r="274" spans="13:37" x14ac:dyDescent="0.2">
      <c r="M274" s="173"/>
      <c r="N274" s="173"/>
      <c r="O274" s="173"/>
      <c r="P274" s="173"/>
      <c r="Q274" s="173"/>
      <c r="R274" s="173"/>
      <c r="S274" s="173"/>
      <c r="T274" s="173"/>
      <c r="U274" s="173"/>
      <c r="V274" s="173"/>
      <c r="W274" s="173"/>
      <c r="X274" s="173"/>
      <c r="Y274" s="173"/>
      <c r="Z274" s="179"/>
      <c r="AA274" s="173"/>
      <c r="AB274" s="173"/>
      <c r="AC274" s="173"/>
      <c r="AD274" s="173"/>
      <c r="AE274" s="173"/>
      <c r="AF274" s="173"/>
      <c r="AG274" s="173"/>
      <c r="AH274" s="173"/>
      <c r="AI274" s="173"/>
      <c r="AJ274" s="173"/>
      <c r="AK274" s="173"/>
    </row>
    <row r="275" spans="13:37" x14ac:dyDescent="0.2">
      <c r="M275" s="173"/>
      <c r="N275" s="173"/>
      <c r="O275" s="173"/>
      <c r="P275" s="173"/>
      <c r="Q275" s="173"/>
      <c r="R275" s="173"/>
      <c r="S275" s="173"/>
      <c r="T275" s="173"/>
      <c r="U275" s="173"/>
      <c r="V275" s="173"/>
      <c r="W275" s="173"/>
      <c r="X275" s="173"/>
      <c r="Y275" s="173"/>
      <c r="Z275" s="179"/>
      <c r="AA275" s="173"/>
      <c r="AB275" s="173"/>
      <c r="AC275" s="173"/>
      <c r="AD275" s="173"/>
      <c r="AE275" s="173"/>
      <c r="AF275" s="173"/>
      <c r="AG275" s="173"/>
      <c r="AH275" s="173"/>
      <c r="AI275" s="173"/>
      <c r="AJ275" s="173"/>
      <c r="AK275" s="173"/>
    </row>
    <row r="276" spans="13:37" x14ac:dyDescent="0.2">
      <c r="M276" s="173"/>
      <c r="N276" s="173"/>
      <c r="O276" s="173"/>
      <c r="P276" s="173"/>
      <c r="Q276" s="173"/>
      <c r="R276" s="173"/>
      <c r="S276" s="173"/>
      <c r="T276" s="173"/>
      <c r="U276" s="173"/>
      <c r="V276" s="173"/>
      <c r="W276" s="173"/>
      <c r="X276" s="173"/>
      <c r="Y276" s="173"/>
      <c r="Z276" s="179"/>
      <c r="AA276" s="173"/>
      <c r="AB276" s="173"/>
      <c r="AC276" s="173"/>
      <c r="AD276" s="173"/>
      <c r="AE276" s="173"/>
      <c r="AF276" s="173"/>
      <c r="AG276" s="173"/>
      <c r="AH276" s="173"/>
      <c r="AI276" s="173"/>
      <c r="AJ276" s="173"/>
      <c r="AK276" s="173"/>
    </row>
    <row r="277" spans="13:37" x14ac:dyDescent="0.2">
      <c r="M277" s="173"/>
      <c r="N277" s="173"/>
      <c r="O277" s="173"/>
      <c r="P277" s="173"/>
      <c r="Q277" s="173"/>
      <c r="R277" s="173"/>
      <c r="S277" s="173"/>
      <c r="T277" s="173"/>
      <c r="U277" s="173"/>
      <c r="V277" s="173"/>
      <c r="W277" s="173"/>
      <c r="X277" s="173"/>
      <c r="Y277" s="173"/>
      <c r="Z277" s="179"/>
      <c r="AA277" s="173"/>
      <c r="AB277" s="173"/>
      <c r="AC277" s="173"/>
      <c r="AD277" s="173"/>
      <c r="AE277" s="173"/>
      <c r="AF277" s="173"/>
      <c r="AG277" s="173"/>
      <c r="AH277" s="173"/>
      <c r="AI277" s="173"/>
      <c r="AJ277" s="173"/>
      <c r="AK277" s="173"/>
    </row>
    <row r="278" spans="13:37" x14ac:dyDescent="0.2">
      <c r="M278" s="173"/>
      <c r="N278" s="173"/>
      <c r="O278" s="173"/>
      <c r="P278" s="173"/>
      <c r="Q278" s="173"/>
      <c r="R278" s="173"/>
      <c r="S278" s="173"/>
      <c r="T278" s="173"/>
      <c r="U278" s="173"/>
      <c r="V278" s="173"/>
      <c r="W278" s="173"/>
      <c r="X278" s="173"/>
      <c r="Y278" s="173"/>
      <c r="Z278" s="179"/>
      <c r="AA278" s="173"/>
      <c r="AB278" s="173"/>
      <c r="AC278" s="173"/>
      <c r="AD278" s="173"/>
      <c r="AE278" s="173"/>
      <c r="AF278" s="173"/>
      <c r="AG278" s="173"/>
      <c r="AH278" s="173"/>
      <c r="AI278" s="173"/>
      <c r="AJ278" s="173"/>
      <c r="AK278" s="173"/>
    </row>
    <row r="279" spans="13:37" x14ac:dyDescent="0.2">
      <c r="M279" s="173"/>
      <c r="N279" s="173"/>
      <c r="O279" s="173"/>
      <c r="P279" s="173"/>
      <c r="Q279" s="173"/>
      <c r="R279" s="173"/>
      <c r="S279" s="173"/>
      <c r="T279" s="173"/>
      <c r="U279" s="173"/>
      <c r="V279" s="173"/>
      <c r="W279" s="173"/>
      <c r="X279" s="173"/>
      <c r="Y279" s="173"/>
      <c r="Z279" s="179"/>
      <c r="AA279" s="173"/>
      <c r="AB279" s="173"/>
      <c r="AC279" s="173"/>
      <c r="AD279" s="173"/>
      <c r="AE279" s="173"/>
      <c r="AF279" s="173"/>
      <c r="AG279" s="173"/>
      <c r="AH279" s="173"/>
      <c r="AI279" s="173"/>
      <c r="AJ279" s="173"/>
      <c r="AK279" s="173"/>
    </row>
    <row r="280" spans="13:37" x14ac:dyDescent="0.2">
      <c r="M280" s="173"/>
      <c r="N280" s="173"/>
      <c r="O280" s="173"/>
      <c r="P280" s="173"/>
      <c r="Q280" s="173"/>
      <c r="R280" s="173"/>
      <c r="S280" s="173"/>
      <c r="T280" s="173"/>
      <c r="U280" s="173"/>
      <c r="V280" s="173"/>
      <c r="W280" s="173"/>
      <c r="X280" s="173"/>
      <c r="Y280" s="173"/>
      <c r="Z280" s="179"/>
      <c r="AA280" s="173"/>
      <c r="AB280" s="173"/>
      <c r="AC280" s="173"/>
      <c r="AD280" s="173"/>
      <c r="AE280" s="173"/>
      <c r="AF280" s="173"/>
      <c r="AG280" s="173"/>
      <c r="AH280" s="173"/>
      <c r="AI280" s="173"/>
      <c r="AJ280" s="173"/>
      <c r="AK280" s="173"/>
    </row>
    <row r="281" spans="13:37" x14ac:dyDescent="0.2">
      <c r="M281" s="173"/>
      <c r="N281" s="173"/>
      <c r="O281" s="173"/>
      <c r="P281" s="173"/>
      <c r="Q281" s="173"/>
      <c r="R281" s="173"/>
      <c r="S281" s="173"/>
      <c r="T281" s="173"/>
      <c r="U281" s="173"/>
      <c r="V281" s="173"/>
      <c r="W281" s="173"/>
      <c r="X281" s="173"/>
      <c r="Y281" s="173"/>
      <c r="Z281" s="179"/>
      <c r="AA281" s="173"/>
      <c r="AB281" s="173"/>
      <c r="AC281" s="173"/>
      <c r="AD281" s="173"/>
      <c r="AE281" s="173"/>
      <c r="AF281" s="173"/>
      <c r="AG281" s="173"/>
      <c r="AH281" s="173"/>
      <c r="AI281" s="173"/>
      <c r="AJ281" s="173"/>
      <c r="AK281" s="173"/>
    </row>
    <row r="282" spans="13:37" x14ac:dyDescent="0.2">
      <c r="M282" s="173"/>
      <c r="N282" s="173"/>
      <c r="O282" s="173"/>
      <c r="P282" s="173"/>
      <c r="Q282" s="173"/>
      <c r="R282" s="173"/>
      <c r="S282" s="173"/>
      <c r="T282" s="173"/>
      <c r="U282" s="173"/>
      <c r="V282" s="173"/>
      <c r="W282" s="173"/>
      <c r="X282" s="173"/>
      <c r="Y282" s="173"/>
      <c r="Z282" s="179"/>
      <c r="AA282" s="173"/>
      <c r="AB282" s="173"/>
      <c r="AC282" s="173"/>
      <c r="AD282" s="173"/>
      <c r="AE282" s="173"/>
      <c r="AF282" s="173"/>
      <c r="AG282" s="173"/>
      <c r="AH282" s="173"/>
      <c r="AI282" s="173"/>
      <c r="AJ282" s="173"/>
      <c r="AK282" s="173"/>
    </row>
    <row r="283" spans="13:37" x14ac:dyDescent="0.2">
      <c r="M283" s="173"/>
      <c r="N283" s="173"/>
      <c r="O283" s="173"/>
      <c r="P283" s="173"/>
      <c r="Q283" s="173"/>
      <c r="R283" s="173"/>
      <c r="S283" s="173"/>
      <c r="T283" s="173"/>
      <c r="U283" s="173"/>
      <c r="V283" s="173"/>
      <c r="W283" s="173"/>
      <c r="X283" s="173"/>
      <c r="Y283" s="173"/>
      <c r="Z283" s="179"/>
      <c r="AA283" s="173"/>
      <c r="AB283" s="173"/>
      <c r="AC283" s="173"/>
      <c r="AD283" s="173"/>
      <c r="AE283" s="173"/>
      <c r="AF283" s="173"/>
      <c r="AG283" s="173"/>
      <c r="AH283" s="173"/>
      <c r="AI283" s="173"/>
      <c r="AJ283" s="173"/>
      <c r="AK283" s="173"/>
    </row>
    <row r="284" spans="13:37" x14ac:dyDescent="0.2">
      <c r="M284" s="173"/>
      <c r="N284" s="173"/>
      <c r="O284" s="173"/>
      <c r="P284" s="173"/>
      <c r="Q284" s="173"/>
      <c r="R284" s="173"/>
      <c r="S284" s="173"/>
      <c r="T284" s="173"/>
      <c r="U284" s="173"/>
      <c r="V284" s="173"/>
      <c r="W284" s="173"/>
      <c r="X284" s="173"/>
      <c r="Y284" s="173"/>
      <c r="Z284" s="179"/>
      <c r="AA284" s="173"/>
      <c r="AB284" s="173"/>
      <c r="AC284" s="173"/>
      <c r="AD284" s="173"/>
      <c r="AE284" s="173"/>
      <c r="AF284" s="173"/>
      <c r="AG284" s="173"/>
      <c r="AH284" s="173"/>
      <c r="AI284" s="173"/>
      <c r="AJ284" s="173"/>
      <c r="AK284" s="173"/>
    </row>
    <row r="285" spans="13:37" x14ac:dyDescent="0.2">
      <c r="M285" s="173"/>
      <c r="N285" s="173"/>
      <c r="O285" s="173"/>
      <c r="P285" s="173"/>
      <c r="Q285" s="173"/>
      <c r="R285" s="173"/>
      <c r="S285" s="173"/>
      <c r="T285" s="173"/>
      <c r="U285" s="173"/>
      <c r="V285" s="173"/>
      <c r="W285" s="173"/>
      <c r="X285" s="173"/>
      <c r="Y285" s="173"/>
      <c r="Z285" s="179"/>
      <c r="AA285" s="173"/>
      <c r="AB285" s="173"/>
      <c r="AC285" s="173"/>
      <c r="AD285" s="173"/>
      <c r="AE285" s="173"/>
      <c r="AF285" s="173"/>
      <c r="AG285" s="173"/>
      <c r="AH285" s="173"/>
      <c r="AI285" s="173"/>
      <c r="AJ285" s="173"/>
      <c r="AK285" s="173"/>
    </row>
    <row r="286" spans="13:37" x14ac:dyDescent="0.2">
      <c r="M286" s="173"/>
      <c r="N286" s="173"/>
      <c r="O286" s="173"/>
      <c r="P286" s="173"/>
      <c r="Q286" s="173"/>
      <c r="R286" s="173"/>
      <c r="S286" s="173"/>
      <c r="T286" s="173"/>
      <c r="U286" s="173"/>
      <c r="V286" s="173"/>
      <c r="W286" s="173"/>
      <c r="X286" s="173"/>
      <c r="Y286" s="173"/>
      <c r="Z286" s="179"/>
      <c r="AA286" s="173"/>
      <c r="AB286" s="173"/>
      <c r="AC286" s="173"/>
      <c r="AD286" s="173"/>
      <c r="AE286" s="173"/>
      <c r="AF286" s="173"/>
      <c r="AG286" s="173"/>
      <c r="AH286" s="173"/>
      <c r="AI286" s="173"/>
      <c r="AJ286" s="173"/>
      <c r="AK286" s="173"/>
    </row>
    <row r="287" spans="13:37" x14ac:dyDescent="0.2">
      <c r="M287" s="173"/>
      <c r="N287" s="173"/>
      <c r="O287" s="173"/>
      <c r="P287" s="173"/>
      <c r="Q287" s="173"/>
      <c r="R287" s="173"/>
      <c r="S287" s="173"/>
      <c r="T287" s="173"/>
      <c r="U287" s="173"/>
      <c r="V287" s="173"/>
      <c r="W287" s="173"/>
      <c r="X287" s="173"/>
      <c r="Y287" s="173"/>
      <c r="Z287" s="179"/>
      <c r="AA287" s="173"/>
      <c r="AB287" s="173"/>
      <c r="AC287" s="173"/>
      <c r="AD287" s="173"/>
      <c r="AE287" s="173"/>
      <c r="AF287" s="173"/>
      <c r="AG287" s="173"/>
      <c r="AH287" s="173"/>
      <c r="AI287" s="173"/>
      <c r="AJ287" s="173"/>
      <c r="AK287" s="173"/>
    </row>
    <row r="288" spans="13:37" x14ac:dyDescent="0.2">
      <c r="M288" s="173"/>
      <c r="N288" s="173"/>
      <c r="O288" s="173"/>
      <c r="P288" s="173"/>
      <c r="Q288" s="173"/>
      <c r="R288" s="173"/>
      <c r="S288" s="173"/>
      <c r="T288" s="173"/>
      <c r="U288" s="173"/>
      <c r="V288" s="173"/>
      <c r="W288" s="173"/>
      <c r="X288" s="173"/>
      <c r="Y288" s="173"/>
      <c r="Z288" s="179"/>
      <c r="AA288" s="173"/>
      <c r="AB288" s="173"/>
      <c r="AC288" s="173"/>
      <c r="AD288" s="173"/>
      <c r="AE288" s="173"/>
      <c r="AF288" s="173"/>
      <c r="AG288" s="173"/>
      <c r="AH288" s="173"/>
      <c r="AI288" s="173"/>
      <c r="AJ288" s="173"/>
      <c r="AK288" s="173"/>
    </row>
    <row r="289" spans="2:37" x14ac:dyDescent="0.2">
      <c r="M289" s="173"/>
      <c r="N289" s="173"/>
      <c r="O289" s="173"/>
      <c r="P289" s="173"/>
      <c r="Q289" s="173"/>
      <c r="R289" s="173"/>
      <c r="S289" s="173"/>
      <c r="T289" s="173"/>
      <c r="U289" s="173"/>
      <c r="V289" s="173"/>
      <c r="W289" s="173"/>
      <c r="X289" s="173"/>
      <c r="Y289" s="173"/>
      <c r="Z289" s="179"/>
      <c r="AA289" s="173"/>
      <c r="AB289" s="173"/>
      <c r="AC289" s="173"/>
      <c r="AD289" s="173"/>
      <c r="AE289" s="173"/>
      <c r="AF289" s="173"/>
      <c r="AG289" s="173"/>
      <c r="AH289" s="173"/>
      <c r="AI289" s="173"/>
      <c r="AJ289" s="173"/>
      <c r="AK289" s="173"/>
    </row>
    <row r="290" spans="2:37" x14ac:dyDescent="0.2">
      <c r="M290" s="173"/>
      <c r="N290" s="173"/>
      <c r="O290" s="173"/>
      <c r="P290" s="173"/>
      <c r="Q290" s="173"/>
      <c r="R290" s="173"/>
      <c r="S290" s="173"/>
      <c r="T290" s="173"/>
      <c r="U290" s="173"/>
      <c r="V290" s="173"/>
      <c r="W290" s="173"/>
      <c r="X290" s="173"/>
      <c r="Y290" s="173"/>
      <c r="Z290" s="179"/>
      <c r="AA290" s="173"/>
      <c r="AB290" s="173"/>
      <c r="AC290" s="173"/>
      <c r="AD290" s="173"/>
      <c r="AE290" s="173"/>
      <c r="AF290" s="173"/>
      <c r="AG290" s="173"/>
      <c r="AH290" s="173"/>
      <c r="AI290" s="173"/>
      <c r="AJ290" s="173"/>
      <c r="AK290" s="173"/>
    </row>
    <row r="291" spans="2:37" x14ac:dyDescent="0.2">
      <c r="M291" s="173"/>
      <c r="N291" s="173"/>
      <c r="O291" s="173"/>
      <c r="P291" s="173"/>
      <c r="Q291" s="173"/>
      <c r="R291" s="173"/>
      <c r="S291" s="173"/>
      <c r="T291" s="173"/>
      <c r="U291" s="173"/>
      <c r="V291" s="173"/>
      <c r="W291" s="173"/>
      <c r="X291" s="173"/>
      <c r="Y291" s="173"/>
      <c r="Z291" s="179"/>
      <c r="AA291" s="173"/>
      <c r="AB291" s="173"/>
      <c r="AC291" s="173"/>
      <c r="AD291" s="173"/>
      <c r="AE291" s="173"/>
      <c r="AF291" s="173"/>
      <c r="AG291" s="173"/>
      <c r="AH291" s="173"/>
      <c r="AI291" s="173"/>
      <c r="AJ291" s="173"/>
      <c r="AK291" s="173"/>
    </row>
    <row r="292" spans="2:37" x14ac:dyDescent="0.2">
      <c r="M292" s="173"/>
      <c r="N292" s="173"/>
      <c r="O292" s="173"/>
      <c r="P292" s="173"/>
      <c r="Q292" s="173"/>
      <c r="R292" s="173"/>
      <c r="S292" s="173"/>
      <c r="T292" s="173"/>
      <c r="U292" s="173"/>
      <c r="V292" s="173"/>
      <c r="W292" s="173"/>
      <c r="X292" s="173"/>
      <c r="Y292" s="173"/>
      <c r="Z292" s="179"/>
      <c r="AA292" s="173"/>
      <c r="AB292" s="173"/>
      <c r="AC292" s="173"/>
      <c r="AD292" s="173"/>
      <c r="AE292" s="173"/>
      <c r="AF292" s="173"/>
      <c r="AG292" s="173"/>
      <c r="AH292" s="173"/>
      <c r="AI292" s="173"/>
      <c r="AJ292" s="173"/>
      <c r="AK292" s="173"/>
    </row>
    <row r="293" spans="2:37" x14ac:dyDescent="0.2">
      <c r="D293" s="170" t="s">
        <v>6</v>
      </c>
      <c r="M293" s="173"/>
      <c r="N293" s="173"/>
      <c r="O293" s="173"/>
      <c r="P293" s="173"/>
      <c r="Q293" s="173"/>
      <c r="R293" s="173"/>
      <c r="S293" s="173"/>
      <c r="T293" s="173"/>
      <c r="U293" s="173"/>
      <c r="V293" s="173"/>
      <c r="W293" s="173"/>
      <c r="X293" s="173"/>
      <c r="Y293" s="173"/>
      <c r="Z293" s="179"/>
      <c r="AA293" s="173"/>
      <c r="AB293" s="173"/>
      <c r="AC293" s="173"/>
      <c r="AD293" s="173"/>
      <c r="AE293" s="173"/>
      <c r="AF293" s="173"/>
      <c r="AG293" s="173"/>
      <c r="AH293" s="173"/>
      <c r="AI293" s="173"/>
      <c r="AJ293" s="173"/>
      <c r="AK293" s="173"/>
    </row>
    <row r="294" spans="2:37" x14ac:dyDescent="0.2">
      <c r="M294" s="173"/>
      <c r="N294" s="173"/>
      <c r="O294" s="173"/>
      <c r="P294" s="173"/>
      <c r="Q294" s="173"/>
      <c r="R294" s="173"/>
      <c r="S294" s="173"/>
      <c r="T294" s="173"/>
      <c r="U294" s="173"/>
      <c r="V294" s="173"/>
      <c r="W294" s="173"/>
      <c r="X294" s="173"/>
      <c r="Y294" s="173"/>
      <c r="Z294" s="179"/>
      <c r="AA294" s="173"/>
      <c r="AB294" s="173"/>
      <c r="AC294" s="173"/>
      <c r="AD294" s="173"/>
      <c r="AE294" s="173"/>
      <c r="AF294" s="173"/>
      <c r="AG294" s="173"/>
      <c r="AH294" s="173"/>
      <c r="AI294" s="173"/>
      <c r="AJ294" s="173"/>
      <c r="AK294" s="173"/>
    </row>
    <row r="295" spans="2:37" x14ac:dyDescent="0.2">
      <c r="M295" s="173"/>
      <c r="N295" s="173"/>
      <c r="O295" s="173"/>
      <c r="P295" s="173"/>
      <c r="Q295" s="173"/>
      <c r="R295" s="173"/>
      <c r="S295" s="173"/>
      <c r="T295" s="173"/>
      <c r="U295" s="173"/>
      <c r="V295" s="173"/>
      <c r="W295" s="173"/>
      <c r="X295" s="173"/>
      <c r="Y295" s="173"/>
      <c r="Z295" s="179"/>
      <c r="AA295" s="173"/>
      <c r="AB295" s="173"/>
      <c r="AC295" s="173"/>
      <c r="AD295" s="173"/>
      <c r="AE295" s="173"/>
      <c r="AF295" s="173"/>
      <c r="AG295" s="173"/>
      <c r="AH295" s="173"/>
      <c r="AI295" s="173"/>
      <c r="AJ295" s="173"/>
      <c r="AK295" s="173"/>
    </row>
    <row r="296" spans="2:37" x14ac:dyDescent="0.2">
      <c r="M296" s="173"/>
      <c r="N296" s="173"/>
      <c r="O296" s="173"/>
      <c r="P296" s="173"/>
      <c r="Q296" s="173"/>
      <c r="R296" s="173"/>
      <c r="S296" s="173"/>
      <c r="T296" s="173"/>
      <c r="U296" s="173"/>
      <c r="V296" s="173"/>
      <c r="W296" s="173"/>
      <c r="X296" s="173"/>
      <c r="Y296" s="173"/>
      <c r="Z296" s="179"/>
      <c r="AA296" s="173"/>
      <c r="AB296" s="173"/>
      <c r="AC296" s="173"/>
      <c r="AD296" s="173"/>
      <c r="AE296" s="173"/>
      <c r="AF296" s="173"/>
      <c r="AG296" s="173"/>
      <c r="AH296" s="173"/>
      <c r="AI296" s="173"/>
      <c r="AJ296" s="173"/>
      <c r="AK296" s="173"/>
    </row>
    <row r="297" spans="2:37" x14ac:dyDescent="0.2">
      <c r="D297" s="170" t="s">
        <v>6</v>
      </c>
      <c r="M297" s="173"/>
      <c r="N297" s="173"/>
      <c r="O297" s="173"/>
      <c r="P297" s="173"/>
      <c r="Q297" s="173"/>
      <c r="R297" s="173"/>
      <c r="S297" s="173"/>
      <c r="T297" s="173"/>
      <c r="U297" s="173"/>
      <c r="V297" s="173"/>
      <c r="W297" s="173"/>
      <c r="X297" s="173"/>
      <c r="Y297" s="173"/>
      <c r="Z297" s="179"/>
      <c r="AA297" s="173"/>
      <c r="AB297" s="173"/>
      <c r="AC297" s="173"/>
      <c r="AD297" s="173"/>
      <c r="AE297" s="173"/>
      <c r="AF297" s="173"/>
      <c r="AG297" s="173"/>
      <c r="AH297" s="173"/>
      <c r="AI297" s="173"/>
      <c r="AJ297" s="173"/>
      <c r="AK297" s="173"/>
    </row>
    <row r="298" spans="2:37" x14ac:dyDescent="0.2">
      <c r="M298" s="173"/>
      <c r="N298" s="173"/>
      <c r="O298" s="173"/>
      <c r="P298" s="173"/>
      <c r="Q298" s="173"/>
      <c r="R298" s="173"/>
      <c r="S298" s="173"/>
      <c r="T298" s="173"/>
      <c r="U298" s="173"/>
      <c r="V298" s="173"/>
      <c r="W298" s="173"/>
      <c r="X298" s="173"/>
      <c r="Y298" s="173"/>
      <c r="Z298" s="179"/>
      <c r="AA298" s="173"/>
      <c r="AB298" s="173"/>
      <c r="AC298" s="173"/>
      <c r="AD298" s="173"/>
      <c r="AE298" s="173"/>
      <c r="AF298" s="173"/>
      <c r="AG298" s="173"/>
      <c r="AH298" s="173"/>
      <c r="AI298" s="173"/>
      <c r="AJ298" s="173"/>
      <c r="AK298" s="173"/>
    </row>
    <row r="299" spans="2:37" x14ac:dyDescent="0.2">
      <c r="M299" s="173"/>
      <c r="N299" s="173"/>
      <c r="O299" s="173"/>
      <c r="P299" s="173"/>
      <c r="Q299" s="173"/>
      <c r="R299" s="173"/>
      <c r="S299" s="173"/>
      <c r="T299" s="173"/>
      <c r="U299" s="173"/>
      <c r="V299" s="173"/>
      <c r="W299" s="173"/>
      <c r="X299" s="173"/>
      <c r="Y299" s="173"/>
      <c r="Z299" s="179"/>
      <c r="AA299" s="173"/>
      <c r="AB299" s="173"/>
      <c r="AC299" s="173"/>
      <c r="AD299" s="173"/>
      <c r="AE299" s="173"/>
      <c r="AF299" s="173"/>
      <c r="AG299" s="173"/>
      <c r="AH299" s="173"/>
      <c r="AI299" s="173"/>
      <c r="AJ299" s="173"/>
      <c r="AK299" s="173"/>
    </row>
    <row r="300" spans="2:37" x14ac:dyDescent="0.2">
      <c r="B300" s="167" t="s">
        <v>0</v>
      </c>
      <c r="M300" s="173"/>
      <c r="N300" s="173"/>
      <c r="O300" s="173"/>
      <c r="P300" s="173"/>
      <c r="Q300" s="173"/>
      <c r="R300" s="173"/>
      <c r="S300" s="173"/>
      <c r="T300" s="173"/>
      <c r="U300" s="173"/>
      <c r="V300" s="173"/>
      <c r="W300" s="173"/>
      <c r="X300" s="173"/>
      <c r="Y300" s="173"/>
      <c r="Z300" s="179"/>
      <c r="AA300" s="173"/>
      <c r="AB300" s="173"/>
      <c r="AC300" s="173"/>
      <c r="AD300" s="173"/>
      <c r="AE300" s="173"/>
      <c r="AF300" s="173"/>
      <c r="AG300" s="173"/>
      <c r="AH300" s="173"/>
      <c r="AI300" s="173"/>
      <c r="AJ300" s="173"/>
      <c r="AK300" s="173"/>
    </row>
    <row r="301" spans="2:37" x14ac:dyDescent="0.2">
      <c r="M301" s="173"/>
      <c r="N301" s="173"/>
      <c r="O301" s="173"/>
      <c r="P301" s="173"/>
      <c r="Q301" s="173"/>
      <c r="R301" s="173"/>
      <c r="S301" s="173"/>
      <c r="T301" s="173"/>
      <c r="U301" s="173"/>
      <c r="V301" s="173"/>
      <c r="W301" s="173"/>
      <c r="X301" s="173"/>
      <c r="Y301" s="173"/>
      <c r="Z301" s="179"/>
      <c r="AA301" s="173"/>
      <c r="AB301" s="173"/>
      <c r="AC301" s="173"/>
      <c r="AD301" s="173"/>
      <c r="AE301" s="173"/>
      <c r="AF301" s="173"/>
      <c r="AG301" s="173"/>
      <c r="AH301" s="173"/>
      <c r="AI301" s="173"/>
      <c r="AJ301" s="173"/>
      <c r="AK301" s="173"/>
    </row>
    <row r="302" spans="2:37" x14ac:dyDescent="0.2">
      <c r="M302" s="173"/>
      <c r="N302" s="173"/>
      <c r="O302" s="173"/>
      <c r="P302" s="173"/>
      <c r="Q302" s="173"/>
      <c r="R302" s="173"/>
      <c r="S302" s="173"/>
      <c r="T302" s="173"/>
      <c r="U302" s="173"/>
      <c r="V302" s="173"/>
      <c r="W302" s="173"/>
      <c r="X302" s="173"/>
      <c r="Y302" s="173"/>
      <c r="Z302" s="179"/>
      <c r="AA302" s="173"/>
      <c r="AB302" s="173"/>
      <c r="AC302" s="173"/>
      <c r="AD302" s="173"/>
      <c r="AE302" s="173"/>
      <c r="AF302" s="173"/>
      <c r="AG302" s="173"/>
      <c r="AH302" s="173"/>
      <c r="AI302" s="173"/>
      <c r="AJ302" s="173"/>
      <c r="AK302" s="173"/>
    </row>
    <row r="303" spans="2:37" x14ac:dyDescent="0.2">
      <c r="M303" s="173"/>
      <c r="N303" s="173"/>
      <c r="O303" s="173"/>
      <c r="P303" s="173"/>
      <c r="Q303" s="173"/>
      <c r="R303" s="173"/>
      <c r="S303" s="173"/>
      <c r="T303" s="173"/>
      <c r="U303" s="173"/>
      <c r="V303" s="173"/>
      <c r="W303" s="173"/>
      <c r="X303" s="173"/>
      <c r="Y303" s="173"/>
      <c r="Z303" s="179"/>
      <c r="AA303" s="173"/>
      <c r="AB303" s="173"/>
      <c r="AC303" s="173"/>
      <c r="AD303" s="173"/>
      <c r="AE303" s="173"/>
      <c r="AF303" s="173"/>
      <c r="AG303" s="173"/>
      <c r="AH303" s="173"/>
      <c r="AI303" s="173"/>
      <c r="AJ303" s="173"/>
      <c r="AK303" s="173"/>
    </row>
    <row r="304" spans="2:37" x14ac:dyDescent="0.2">
      <c r="M304" s="173"/>
      <c r="N304" s="173"/>
      <c r="O304" s="173"/>
      <c r="P304" s="173"/>
      <c r="Q304" s="173"/>
      <c r="R304" s="173"/>
      <c r="S304" s="173"/>
      <c r="T304" s="173"/>
      <c r="U304" s="173"/>
      <c r="V304" s="173"/>
      <c r="W304" s="173"/>
      <c r="X304" s="173"/>
      <c r="Y304" s="173"/>
      <c r="Z304" s="179"/>
      <c r="AA304" s="173"/>
      <c r="AB304" s="173"/>
      <c r="AC304" s="173"/>
      <c r="AD304" s="173"/>
      <c r="AE304" s="173"/>
      <c r="AF304" s="173"/>
      <c r="AG304" s="173"/>
      <c r="AH304" s="173"/>
      <c r="AI304" s="173"/>
      <c r="AJ304" s="173"/>
      <c r="AK304" s="173"/>
    </row>
    <row r="305" spans="13:37" x14ac:dyDescent="0.2">
      <c r="M305" s="173"/>
      <c r="N305" s="173"/>
      <c r="O305" s="173"/>
      <c r="P305" s="173"/>
      <c r="Q305" s="173"/>
      <c r="R305" s="173"/>
      <c r="S305" s="173"/>
      <c r="T305" s="173"/>
      <c r="U305" s="173"/>
      <c r="V305" s="173"/>
      <c r="W305" s="173"/>
      <c r="X305" s="173"/>
      <c r="Y305" s="173"/>
      <c r="Z305" s="179"/>
      <c r="AA305" s="173"/>
      <c r="AB305" s="173"/>
      <c r="AC305" s="173"/>
      <c r="AD305" s="173"/>
      <c r="AE305" s="173"/>
      <c r="AF305" s="173"/>
      <c r="AG305" s="173"/>
      <c r="AH305" s="173"/>
      <c r="AI305" s="173"/>
      <c r="AJ305" s="173"/>
      <c r="AK305" s="173"/>
    </row>
    <row r="306" spans="13:37" x14ac:dyDescent="0.2">
      <c r="M306" s="173"/>
      <c r="N306" s="173"/>
      <c r="O306" s="173"/>
      <c r="P306" s="173"/>
      <c r="Q306" s="173"/>
      <c r="R306" s="173"/>
      <c r="S306" s="173"/>
      <c r="T306" s="173"/>
      <c r="U306" s="173"/>
      <c r="V306" s="173"/>
      <c r="W306" s="173"/>
      <c r="X306" s="173"/>
      <c r="Y306" s="173"/>
      <c r="Z306" s="179"/>
      <c r="AA306" s="173"/>
      <c r="AB306" s="173"/>
      <c r="AC306" s="173"/>
      <c r="AD306" s="173"/>
      <c r="AE306" s="173"/>
      <c r="AF306" s="173"/>
      <c r="AG306" s="173"/>
      <c r="AH306" s="173"/>
      <c r="AI306" s="173"/>
      <c r="AJ306" s="173"/>
      <c r="AK306" s="173"/>
    </row>
    <row r="307" spans="13:37" x14ac:dyDescent="0.2">
      <c r="M307" s="173"/>
      <c r="N307" s="173"/>
      <c r="O307" s="173"/>
      <c r="P307" s="173"/>
      <c r="Q307" s="173"/>
      <c r="R307" s="173"/>
      <c r="S307" s="173"/>
      <c r="T307" s="173"/>
      <c r="U307" s="173"/>
      <c r="V307" s="173"/>
      <c r="W307" s="173"/>
      <c r="X307" s="173"/>
      <c r="Y307" s="173"/>
      <c r="Z307" s="179"/>
      <c r="AA307" s="173"/>
      <c r="AB307" s="173"/>
      <c r="AC307" s="173"/>
      <c r="AD307" s="173"/>
      <c r="AE307" s="173"/>
      <c r="AF307" s="173"/>
      <c r="AG307" s="173"/>
      <c r="AH307" s="173"/>
      <c r="AI307" s="173"/>
      <c r="AJ307" s="173"/>
      <c r="AK307" s="173"/>
    </row>
    <row r="308" spans="13:37" x14ac:dyDescent="0.2">
      <c r="M308" s="173"/>
      <c r="N308" s="173"/>
      <c r="O308" s="173"/>
      <c r="P308" s="173"/>
      <c r="Q308" s="173"/>
      <c r="R308" s="173"/>
      <c r="S308" s="173"/>
      <c r="T308" s="173"/>
      <c r="U308" s="173"/>
      <c r="V308" s="173"/>
      <c r="W308" s="173"/>
      <c r="X308" s="173"/>
      <c r="Y308" s="173"/>
      <c r="Z308" s="179"/>
      <c r="AA308" s="173"/>
      <c r="AB308" s="173"/>
      <c r="AC308" s="173"/>
      <c r="AD308" s="173"/>
      <c r="AE308" s="173"/>
      <c r="AF308" s="173"/>
      <c r="AG308" s="173"/>
      <c r="AH308" s="173"/>
      <c r="AI308" s="173"/>
      <c r="AJ308" s="173"/>
      <c r="AK308" s="173"/>
    </row>
    <row r="309" spans="13:37" x14ac:dyDescent="0.2">
      <c r="M309" s="173"/>
      <c r="N309" s="173"/>
      <c r="O309" s="173"/>
      <c r="P309" s="173"/>
      <c r="Q309" s="173"/>
      <c r="R309" s="173"/>
      <c r="S309" s="173"/>
      <c r="T309" s="173"/>
      <c r="U309" s="173"/>
      <c r="V309" s="173"/>
      <c r="W309" s="173"/>
      <c r="X309" s="173"/>
      <c r="Y309" s="173"/>
      <c r="Z309" s="179"/>
      <c r="AA309" s="173"/>
      <c r="AB309" s="173"/>
      <c r="AC309" s="173"/>
      <c r="AD309" s="173"/>
      <c r="AE309" s="173"/>
      <c r="AF309" s="173"/>
      <c r="AG309" s="173"/>
      <c r="AH309" s="173"/>
      <c r="AI309" s="173"/>
      <c r="AJ309" s="173"/>
      <c r="AK309" s="173"/>
    </row>
    <row r="310" spans="13:37" x14ac:dyDescent="0.2">
      <c r="M310" s="173"/>
      <c r="N310" s="173"/>
      <c r="O310" s="173"/>
      <c r="P310" s="173"/>
      <c r="Q310" s="173"/>
      <c r="R310" s="173"/>
      <c r="S310" s="173"/>
      <c r="T310" s="173"/>
      <c r="U310" s="173"/>
      <c r="V310" s="173"/>
      <c r="W310" s="173"/>
      <c r="X310" s="173"/>
      <c r="Y310" s="173"/>
      <c r="Z310" s="179"/>
      <c r="AA310" s="173"/>
      <c r="AB310" s="173"/>
      <c r="AC310" s="173"/>
      <c r="AD310" s="173"/>
      <c r="AE310" s="173"/>
      <c r="AF310" s="173"/>
      <c r="AG310" s="173"/>
      <c r="AH310" s="173"/>
      <c r="AI310" s="173"/>
      <c r="AJ310" s="173"/>
      <c r="AK310" s="173"/>
    </row>
    <row r="311" spans="13:37" x14ac:dyDescent="0.2">
      <c r="M311" s="173"/>
      <c r="N311" s="173"/>
      <c r="O311" s="173"/>
      <c r="P311" s="173"/>
      <c r="Q311" s="173"/>
      <c r="R311" s="173"/>
      <c r="S311" s="173"/>
      <c r="T311" s="173"/>
      <c r="U311" s="173"/>
      <c r="V311" s="173"/>
      <c r="W311" s="173"/>
      <c r="X311" s="173"/>
      <c r="Y311" s="173"/>
      <c r="Z311" s="179"/>
      <c r="AA311" s="173"/>
      <c r="AB311" s="173"/>
      <c r="AC311" s="173"/>
      <c r="AD311" s="173"/>
      <c r="AE311" s="173"/>
      <c r="AF311" s="173"/>
      <c r="AG311" s="173"/>
      <c r="AH311" s="173"/>
      <c r="AI311" s="173"/>
      <c r="AJ311" s="173"/>
      <c r="AK311" s="173"/>
    </row>
    <row r="312" spans="13:37" x14ac:dyDescent="0.2">
      <c r="M312" s="173"/>
      <c r="N312" s="173"/>
      <c r="O312" s="173"/>
      <c r="P312" s="173"/>
      <c r="Q312" s="173"/>
      <c r="R312" s="173"/>
      <c r="S312" s="173"/>
      <c r="T312" s="173"/>
      <c r="U312" s="173"/>
      <c r="V312" s="173"/>
      <c r="W312" s="173"/>
      <c r="X312" s="173"/>
      <c r="Y312" s="173"/>
      <c r="Z312" s="179"/>
      <c r="AA312" s="173"/>
      <c r="AB312" s="173"/>
      <c r="AC312" s="173"/>
      <c r="AD312" s="173"/>
      <c r="AE312" s="173"/>
      <c r="AF312" s="173"/>
      <c r="AG312" s="173"/>
      <c r="AH312" s="173"/>
      <c r="AI312" s="173"/>
      <c r="AJ312" s="173"/>
      <c r="AK312" s="173"/>
    </row>
    <row r="313" spans="13:37" x14ac:dyDescent="0.2">
      <c r="M313" s="173"/>
      <c r="N313" s="173"/>
      <c r="O313" s="173"/>
      <c r="P313" s="173"/>
      <c r="Q313" s="173"/>
      <c r="R313" s="173"/>
      <c r="S313" s="173"/>
      <c r="T313" s="173"/>
      <c r="U313" s="173"/>
      <c r="V313" s="173"/>
      <c r="W313" s="173"/>
      <c r="X313" s="173"/>
      <c r="Y313" s="173"/>
      <c r="Z313" s="179"/>
      <c r="AA313" s="173"/>
      <c r="AB313" s="173"/>
      <c r="AC313" s="173"/>
      <c r="AD313" s="173"/>
      <c r="AE313" s="173"/>
      <c r="AF313" s="173"/>
      <c r="AG313" s="173"/>
      <c r="AH313" s="173"/>
      <c r="AI313" s="173"/>
      <c r="AJ313" s="173"/>
      <c r="AK313" s="173"/>
    </row>
    <row r="314" spans="13:37" x14ac:dyDescent="0.2">
      <c r="M314" s="173"/>
      <c r="N314" s="173"/>
      <c r="O314" s="173"/>
      <c r="P314" s="173"/>
      <c r="Q314" s="173"/>
      <c r="R314" s="173"/>
      <c r="S314" s="173"/>
      <c r="T314" s="173"/>
      <c r="U314" s="173"/>
      <c r="V314" s="173"/>
      <c r="W314" s="173"/>
      <c r="X314" s="173"/>
      <c r="Y314" s="173"/>
      <c r="Z314" s="179"/>
      <c r="AA314" s="173"/>
      <c r="AB314" s="173"/>
      <c r="AC314" s="173"/>
      <c r="AD314" s="173"/>
      <c r="AE314" s="173"/>
      <c r="AF314" s="173"/>
      <c r="AG314" s="173"/>
      <c r="AH314" s="173"/>
      <c r="AI314" s="173"/>
      <c r="AJ314" s="173"/>
      <c r="AK314" s="173"/>
    </row>
    <row r="315" spans="13:37" x14ac:dyDescent="0.2">
      <c r="M315" s="173"/>
      <c r="N315" s="173"/>
      <c r="O315" s="173"/>
      <c r="P315" s="173"/>
      <c r="Q315" s="173"/>
      <c r="R315" s="173"/>
      <c r="S315" s="173"/>
      <c r="T315" s="173"/>
      <c r="U315" s="173"/>
      <c r="V315" s="173"/>
      <c r="W315" s="173"/>
      <c r="X315" s="173"/>
      <c r="Y315" s="173"/>
      <c r="Z315" s="179"/>
      <c r="AA315" s="173"/>
      <c r="AB315" s="173"/>
      <c r="AC315" s="173"/>
      <c r="AD315" s="173"/>
      <c r="AE315" s="173"/>
      <c r="AF315" s="173"/>
      <c r="AG315" s="173"/>
      <c r="AH315" s="173"/>
      <c r="AI315" s="173"/>
      <c r="AJ315" s="173"/>
      <c r="AK315" s="173"/>
    </row>
    <row r="316" spans="13:37" x14ac:dyDescent="0.2">
      <c r="M316" s="173"/>
      <c r="N316" s="173"/>
      <c r="O316" s="173"/>
      <c r="P316" s="173"/>
      <c r="Q316" s="173"/>
      <c r="R316" s="173"/>
      <c r="S316" s="173"/>
      <c r="T316" s="173"/>
      <c r="U316" s="173"/>
      <c r="V316" s="173"/>
      <c r="W316" s="173"/>
      <c r="X316" s="173"/>
      <c r="Y316" s="173"/>
      <c r="Z316" s="179"/>
      <c r="AA316" s="173"/>
      <c r="AB316" s="173"/>
      <c r="AC316" s="173"/>
      <c r="AD316" s="173"/>
      <c r="AE316" s="173"/>
      <c r="AF316" s="173"/>
      <c r="AG316" s="173"/>
      <c r="AH316" s="173"/>
      <c r="AI316" s="173"/>
      <c r="AJ316" s="173"/>
      <c r="AK316" s="173"/>
    </row>
    <row r="317" spans="13:37" x14ac:dyDescent="0.2">
      <c r="M317" s="173"/>
      <c r="N317" s="173"/>
      <c r="O317" s="173"/>
      <c r="P317" s="173"/>
      <c r="Q317" s="173"/>
      <c r="R317" s="173"/>
      <c r="S317" s="173"/>
      <c r="T317" s="173"/>
      <c r="U317" s="173"/>
      <c r="V317" s="173"/>
      <c r="W317" s="173"/>
      <c r="X317" s="173"/>
      <c r="Y317" s="173"/>
      <c r="Z317" s="179"/>
      <c r="AA317" s="173"/>
      <c r="AB317" s="173"/>
      <c r="AC317" s="173"/>
      <c r="AD317" s="173"/>
      <c r="AE317" s="173"/>
      <c r="AF317" s="173"/>
      <c r="AG317" s="173"/>
      <c r="AH317" s="173"/>
      <c r="AI317" s="173"/>
      <c r="AJ317" s="173"/>
      <c r="AK317" s="173"/>
    </row>
    <row r="318" spans="13:37" x14ac:dyDescent="0.2">
      <c r="M318" s="173"/>
      <c r="N318" s="173"/>
      <c r="O318" s="173"/>
      <c r="P318" s="173"/>
      <c r="Q318" s="173"/>
      <c r="R318" s="173"/>
      <c r="S318" s="173"/>
      <c r="T318" s="173"/>
      <c r="U318" s="173"/>
      <c r="V318" s="173"/>
      <c r="W318" s="173"/>
      <c r="X318" s="173"/>
      <c r="Y318" s="173"/>
      <c r="Z318" s="179"/>
      <c r="AA318" s="173"/>
      <c r="AB318" s="173"/>
      <c r="AC318" s="173"/>
      <c r="AD318" s="173"/>
      <c r="AE318" s="173"/>
      <c r="AF318" s="173"/>
      <c r="AG318" s="173"/>
      <c r="AH318" s="173"/>
      <c r="AI318" s="173"/>
      <c r="AJ318" s="173"/>
      <c r="AK318" s="173"/>
    </row>
    <row r="319" spans="13:37" x14ac:dyDescent="0.2">
      <c r="M319" s="173"/>
      <c r="N319" s="173"/>
      <c r="O319" s="173"/>
      <c r="P319" s="173"/>
      <c r="Q319" s="173"/>
      <c r="R319" s="173"/>
      <c r="S319" s="173"/>
      <c r="T319" s="173"/>
      <c r="U319" s="173"/>
      <c r="V319" s="173"/>
      <c r="W319" s="173"/>
      <c r="X319" s="173"/>
      <c r="Y319" s="173"/>
      <c r="Z319" s="179"/>
      <c r="AA319" s="173"/>
      <c r="AB319" s="173"/>
      <c r="AC319" s="173"/>
      <c r="AD319" s="173"/>
      <c r="AE319" s="173"/>
      <c r="AF319" s="173"/>
      <c r="AG319" s="173"/>
      <c r="AH319" s="173"/>
      <c r="AI319" s="173"/>
      <c r="AJ319" s="173"/>
      <c r="AK319" s="173"/>
    </row>
    <row r="320" spans="13:37" x14ac:dyDescent="0.2">
      <c r="M320" s="173"/>
      <c r="N320" s="173"/>
      <c r="O320" s="173"/>
      <c r="P320" s="173"/>
      <c r="Q320" s="173"/>
      <c r="R320" s="173"/>
      <c r="S320" s="173"/>
      <c r="T320" s="173"/>
      <c r="U320" s="173"/>
      <c r="V320" s="173"/>
      <c r="W320" s="173"/>
      <c r="X320" s="173"/>
      <c r="Y320" s="173"/>
      <c r="Z320" s="179"/>
      <c r="AA320" s="173"/>
      <c r="AB320" s="173"/>
      <c r="AC320" s="173"/>
      <c r="AD320" s="173"/>
      <c r="AE320" s="173"/>
      <c r="AF320" s="173"/>
      <c r="AG320" s="173"/>
      <c r="AH320" s="173"/>
      <c r="AI320" s="173"/>
      <c r="AJ320" s="173"/>
      <c r="AK320" s="173"/>
    </row>
    <row r="321" spans="13:37" x14ac:dyDescent="0.2">
      <c r="M321" s="173"/>
      <c r="N321" s="173"/>
      <c r="O321" s="173"/>
      <c r="P321" s="173"/>
      <c r="Q321" s="173"/>
      <c r="R321" s="173"/>
      <c r="S321" s="173"/>
      <c r="T321" s="173"/>
      <c r="U321" s="173"/>
      <c r="V321" s="173"/>
      <c r="W321" s="173"/>
      <c r="X321" s="173"/>
      <c r="Y321" s="173"/>
      <c r="Z321" s="179"/>
      <c r="AA321" s="173"/>
      <c r="AB321" s="173"/>
      <c r="AC321" s="173"/>
      <c r="AD321" s="173"/>
      <c r="AE321" s="173"/>
      <c r="AF321" s="173"/>
      <c r="AG321" s="173"/>
      <c r="AH321" s="173"/>
      <c r="AI321" s="173"/>
      <c r="AJ321" s="173"/>
      <c r="AK321" s="173"/>
    </row>
    <row r="322" spans="13:37" x14ac:dyDescent="0.2">
      <c r="M322" s="173"/>
      <c r="N322" s="173"/>
      <c r="O322" s="173"/>
      <c r="P322" s="173"/>
      <c r="Q322" s="173"/>
      <c r="R322" s="173"/>
      <c r="S322" s="173"/>
      <c r="T322" s="173"/>
      <c r="U322" s="173"/>
      <c r="V322" s="173"/>
      <c r="W322" s="173"/>
      <c r="X322" s="173"/>
      <c r="Y322" s="173"/>
      <c r="Z322" s="179"/>
      <c r="AA322" s="173"/>
      <c r="AB322" s="173"/>
      <c r="AC322" s="173"/>
      <c r="AD322" s="173"/>
      <c r="AE322" s="173"/>
      <c r="AF322" s="173"/>
      <c r="AG322" s="173"/>
      <c r="AH322" s="173"/>
      <c r="AI322" s="173"/>
      <c r="AJ322" s="173"/>
      <c r="AK322" s="173"/>
    </row>
    <row r="323" spans="13:37" x14ac:dyDescent="0.2">
      <c r="M323" s="173"/>
      <c r="N323" s="173"/>
      <c r="O323" s="173"/>
      <c r="P323" s="173"/>
      <c r="Q323" s="173"/>
      <c r="R323" s="173"/>
      <c r="S323" s="173"/>
      <c r="T323" s="173"/>
      <c r="U323" s="173"/>
      <c r="V323" s="173"/>
      <c r="W323" s="173"/>
      <c r="X323" s="173"/>
      <c r="Y323" s="173"/>
      <c r="Z323" s="179"/>
      <c r="AA323" s="173"/>
      <c r="AB323" s="173"/>
      <c r="AC323" s="173"/>
      <c r="AD323" s="173"/>
      <c r="AE323" s="173"/>
      <c r="AF323" s="173"/>
      <c r="AG323" s="173"/>
      <c r="AH323" s="173"/>
      <c r="AI323" s="173"/>
      <c r="AJ323" s="173"/>
      <c r="AK323" s="173"/>
    </row>
    <row r="324" spans="13:37" x14ac:dyDescent="0.2">
      <c r="M324" s="173"/>
      <c r="N324" s="173"/>
      <c r="O324" s="173"/>
      <c r="P324" s="173"/>
      <c r="Q324" s="173"/>
      <c r="R324" s="173"/>
      <c r="S324" s="173"/>
      <c r="T324" s="173"/>
      <c r="U324" s="173"/>
      <c r="V324" s="173"/>
      <c r="W324" s="173"/>
      <c r="X324" s="173"/>
      <c r="Y324" s="173"/>
      <c r="Z324" s="179"/>
      <c r="AA324" s="173"/>
      <c r="AB324" s="173"/>
      <c r="AC324" s="173"/>
      <c r="AD324" s="173"/>
      <c r="AE324" s="173"/>
      <c r="AF324" s="173"/>
      <c r="AG324" s="173"/>
      <c r="AH324" s="173"/>
      <c r="AI324" s="173"/>
      <c r="AJ324" s="173"/>
      <c r="AK324" s="173"/>
    </row>
    <row r="325" spans="13:37" x14ac:dyDescent="0.2">
      <c r="M325" s="173"/>
      <c r="N325" s="173"/>
      <c r="O325" s="173"/>
      <c r="P325" s="173"/>
      <c r="Q325" s="173"/>
      <c r="R325" s="173"/>
      <c r="S325" s="173"/>
      <c r="T325" s="173"/>
      <c r="U325" s="173"/>
      <c r="V325" s="173"/>
      <c r="W325" s="173"/>
      <c r="X325" s="173"/>
      <c r="Y325" s="173"/>
      <c r="Z325" s="179"/>
      <c r="AA325" s="173"/>
      <c r="AB325" s="173"/>
      <c r="AC325" s="173"/>
      <c r="AD325" s="173"/>
      <c r="AE325" s="173"/>
      <c r="AF325" s="173"/>
      <c r="AG325" s="173"/>
      <c r="AH325" s="173"/>
      <c r="AI325" s="173"/>
      <c r="AJ325" s="173"/>
      <c r="AK325" s="173"/>
    </row>
    <row r="326" spans="13:37" x14ac:dyDescent="0.2">
      <c r="M326" s="173"/>
      <c r="N326" s="173"/>
      <c r="O326" s="173"/>
      <c r="P326" s="173"/>
      <c r="Q326" s="173"/>
      <c r="R326" s="173"/>
      <c r="S326" s="173"/>
      <c r="T326" s="173"/>
      <c r="U326" s="173"/>
      <c r="V326" s="173"/>
      <c r="W326" s="173"/>
      <c r="X326" s="173"/>
      <c r="Y326" s="173"/>
      <c r="Z326" s="179"/>
      <c r="AA326" s="173"/>
      <c r="AB326" s="173"/>
      <c r="AC326" s="173"/>
      <c r="AD326" s="173"/>
      <c r="AE326" s="173"/>
      <c r="AF326" s="173"/>
      <c r="AG326" s="173"/>
      <c r="AH326" s="173"/>
      <c r="AI326" s="173"/>
      <c r="AJ326" s="173"/>
      <c r="AK326" s="173"/>
    </row>
    <row r="327" spans="13:37" x14ac:dyDescent="0.2">
      <c r="M327" s="173"/>
      <c r="N327" s="173"/>
      <c r="O327" s="173"/>
      <c r="P327" s="173"/>
      <c r="Q327" s="173"/>
      <c r="R327" s="173"/>
      <c r="S327" s="173"/>
      <c r="T327" s="173"/>
      <c r="U327" s="173"/>
      <c r="V327" s="173"/>
      <c r="W327" s="173"/>
      <c r="X327" s="173"/>
      <c r="Y327" s="173"/>
      <c r="Z327" s="179"/>
      <c r="AA327" s="173"/>
      <c r="AB327" s="173"/>
      <c r="AC327" s="173"/>
      <c r="AD327" s="173"/>
      <c r="AE327" s="173"/>
      <c r="AF327" s="173"/>
      <c r="AG327" s="173"/>
      <c r="AH327" s="173"/>
      <c r="AI327" s="173"/>
      <c r="AJ327" s="173"/>
      <c r="AK327" s="173"/>
    </row>
    <row r="328" spans="13:37" x14ac:dyDescent="0.2">
      <c r="M328" s="173"/>
      <c r="N328" s="173"/>
      <c r="O328" s="173"/>
      <c r="P328" s="173"/>
      <c r="Q328" s="173"/>
      <c r="R328" s="173"/>
      <c r="S328" s="173"/>
      <c r="T328" s="173"/>
      <c r="U328" s="173"/>
      <c r="V328" s="173"/>
      <c r="W328" s="173"/>
      <c r="X328" s="173"/>
      <c r="Y328" s="173"/>
      <c r="Z328" s="179"/>
      <c r="AA328" s="173"/>
      <c r="AB328" s="173"/>
      <c r="AC328" s="173"/>
      <c r="AD328" s="173"/>
      <c r="AE328" s="173"/>
      <c r="AF328" s="173"/>
      <c r="AG328" s="173"/>
      <c r="AH328" s="173"/>
      <c r="AI328" s="173"/>
      <c r="AJ328" s="173"/>
      <c r="AK328" s="173"/>
    </row>
    <row r="329" spans="13:37" x14ac:dyDescent="0.2">
      <c r="M329" s="173"/>
      <c r="N329" s="173"/>
      <c r="O329" s="173"/>
      <c r="P329" s="173"/>
      <c r="Q329" s="173"/>
      <c r="R329" s="173"/>
      <c r="S329" s="173"/>
      <c r="T329" s="173"/>
      <c r="U329" s="173"/>
      <c r="V329" s="173"/>
      <c r="W329" s="173"/>
      <c r="X329" s="173"/>
      <c r="Y329" s="173"/>
      <c r="Z329" s="179"/>
      <c r="AA329" s="173"/>
      <c r="AB329" s="173"/>
      <c r="AC329" s="173"/>
      <c r="AD329" s="173"/>
      <c r="AE329" s="173"/>
      <c r="AF329" s="173"/>
      <c r="AG329" s="173"/>
      <c r="AH329" s="173"/>
      <c r="AI329" s="173"/>
      <c r="AJ329" s="173"/>
      <c r="AK329" s="173"/>
    </row>
    <row r="330" spans="13:37" x14ac:dyDescent="0.2">
      <c r="M330" s="173"/>
      <c r="N330" s="173"/>
      <c r="O330" s="173"/>
      <c r="P330" s="173"/>
      <c r="Q330" s="173"/>
      <c r="R330" s="173"/>
      <c r="S330" s="173"/>
      <c r="T330" s="173"/>
      <c r="U330" s="173"/>
      <c r="V330" s="173"/>
      <c r="W330" s="173"/>
      <c r="X330" s="173"/>
      <c r="Y330" s="173"/>
      <c r="Z330" s="179"/>
      <c r="AA330" s="173"/>
      <c r="AB330" s="173"/>
      <c r="AC330" s="173"/>
      <c r="AD330" s="173"/>
      <c r="AE330" s="173"/>
      <c r="AF330" s="173"/>
      <c r="AG330" s="173"/>
      <c r="AH330" s="173"/>
      <c r="AI330" s="173"/>
      <c r="AJ330" s="173"/>
      <c r="AK330" s="173"/>
    </row>
    <row r="331" spans="13:37" x14ac:dyDescent="0.2">
      <c r="M331" s="173"/>
      <c r="N331" s="173"/>
      <c r="O331" s="173"/>
      <c r="P331" s="173"/>
      <c r="Q331" s="173"/>
      <c r="R331" s="173"/>
      <c r="S331" s="173"/>
      <c r="T331" s="173"/>
      <c r="U331" s="173"/>
      <c r="V331" s="173"/>
      <c r="W331" s="173"/>
      <c r="X331" s="173"/>
      <c r="Y331" s="173"/>
      <c r="Z331" s="179"/>
      <c r="AA331" s="173"/>
      <c r="AB331" s="173"/>
      <c r="AC331" s="173"/>
      <c r="AD331" s="173"/>
      <c r="AE331" s="173"/>
      <c r="AF331" s="173"/>
      <c r="AG331" s="173"/>
      <c r="AH331" s="173"/>
      <c r="AI331" s="173"/>
      <c r="AJ331" s="173"/>
      <c r="AK331" s="173"/>
    </row>
    <row r="332" spans="13:37" x14ac:dyDescent="0.2">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row>
    <row r="333" spans="13:37" x14ac:dyDescent="0.2">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row>
    <row r="334" spans="13:37" x14ac:dyDescent="0.2">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row>
    <row r="335" spans="13:37" x14ac:dyDescent="0.2">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row>
    <row r="336" spans="13:37" x14ac:dyDescent="0.2">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row>
    <row r="337" spans="13:37" x14ac:dyDescent="0.2">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row>
    <row r="338" spans="13:37" x14ac:dyDescent="0.2">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row>
    <row r="339" spans="13:37" x14ac:dyDescent="0.2">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row>
    <row r="340" spans="13:37" x14ac:dyDescent="0.2">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row>
    <row r="341" spans="13:37" x14ac:dyDescent="0.2">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row>
  </sheetData>
  <sheetProtection algorithmName="SHA-512" hashValue="DDdRmY+8JuC/RAbOt+FU2UpPuO6khsgSakXhZPDaJyQF+0DZRQrEUuBremwkunZErHy7/VuVsJgsp3ObTpaJKg==" saltValue="XwiLDUEEGX5K5dDUW/qFAg==" spinCount="100000" sheet="1" objects="1" scenarios="1"/>
  <autoFilter ref="B2:AK258" xr:uid="{3ED18F17-A8C6-4388-9451-C14E3EAB398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Sheet1</vt:lpstr>
      <vt:lpstr>Introduction</vt:lpstr>
      <vt:lpstr>Disclaimer</vt:lpstr>
      <vt:lpstr>Data Sources</vt:lpstr>
      <vt:lpstr>Definitions and Formulas</vt:lpstr>
      <vt:lpstr>Sheet2</vt:lpstr>
      <vt:lpstr>Assumptions by Airport Operator</vt:lpstr>
      <vt:lpstr>Summary of KPIs</vt:lpstr>
      <vt:lpstr>Data in USD</vt:lpstr>
      <vt:lpstr>Data in Local Currency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Lee</dc:creator>
  <cp:lastModifiedBy>Justin Lee</cp:lastModifiedBy>
  <dcterms:created xsi:type="dcterms:W3CDTF">2019-07-01T06:44:58Z</dcterms:created>
  <dcterms:modified xsi:type="dcterms:W3CDTF">2019-08-10T07:45:56Z</dcterms:modified>
</cp:coreProperties>
</file>